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Weekly Profit" sheetId="3" state="visible" r:id="rId3"/>
    <sheet xmlns:r="http://schemas.openxmlformats.org/officeDocument/2006/relationships" name="Monthly Profit" sheetId="4" state="visible" r:id="rId4"/>
    <sheet xmlns:r="http://schemas.openxmlformats.org/officeDocument/2006/relationships" name="Cash Flow" sheetId="5" state="visible" r:id="rId5"/>
    <sheet xmlns:r="http://schemas.openxmlformats.org/officeDocument/2006/relationships" name="Sensitivity" sheetId="6" state="visible" r:id="rId6"/>
    <sheet xmlns:r="http://schemas.openxmlformats.org/officeDocument/2006/relationships" name="ROI by Fleet Size" sheetId="7" state="visible" r:id="rId7"/>
    <sheet xmlns:r="http://schemas.openxmlformats.org/officeDocument/2006/relationships" name="How it works" sheetId="8" state="visible" r:id="rId8"/>
  </sheets>
  <definedNames>
    <definedName name="FX">Inputs!$G$5</definedName>
    <definedName name="HalfFactor">Inputs!$G$7</definedName>
    <definedName name="Currency">Inputs!$D$5</definedName>
    <definedName name="DevPrice">Inputs!$G$10</definedName>
    <definedName name="Devices">Inputs!$G$11</definedName>
    <definedName name="Life">Inputs!$G$12</definedName>
    <definedName name="HPD">Inputs!$G$13</definedName>
    <definedName name="Sellable">Inputs!$G$14</definedName>
    <definedName name="DaysWk">Inputs!$G$15</definedName>
    <definedName name="PricePerHr">Inputs!$G$16</definedName>
    <definedName name="PayDays">Inputs!$G$17</definedName>
    <definedName name="CostPerHr">Inputs!$G$18</definedName>
    <definedName name="Horizon">Inputs!$G$19</definedName>
    <definedName name="Invest">Inputs!$G$23</definedName>
    <definedName name="DaysMo">Inputs!$G$24</definedName>
    <definedName name="SoldPerDevDay">Inputs!$G$25</definedName>
    <definedName name="RecordedWk">Inputs!$G$26</definedName>
    <definedName name="AcceptedWk">Inputs!$G$27</definedName>
    <definedName name="RevenueWk">Inputs!$G$28</definedName>
    <definedName name="CollectionWk">Inputs!$G$29</definedName>
    <definedName name="Recorded">Inputs!$G$30</definedName>
    <definedName name="Accepted">Inputs!$G$31</definedName>
    <definedName name="Revenue">Inputs!$G$32</definedName>
    <definedName name="Collection">Inputs!$G$33</definedName>
    <definedName name="OpProfit">Inputs!$G$34</definedName>
    <definedName name="Purchases">Inputs!$G$35</definedName>
    <definedName name="CostPerAccepted">Inputs!$G$36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;(#,##0);&quot;-&quot;"/>
    <numFmt numFmtId="165" formatCode="0.0"/>
    <numFmt numFmtId="166" formatCode="0.0%;(0.0%);&quot;-&quot;"/>
    <numFmt numFmtId="167" formatCode="#,##0.00;(#,##0.00);&quot;-&quot;"/>
    <numFmt numFmtId="168" formatCode="0.0&quot; mo&quot;"/>
    <numFmt numFmtId="169" formatCode="0&quot; wks&quot;"/>
    <numFmt numFmtId="170" formatCode="0.00&quot;x&quot;"/>
  </numFmts>
  <fonts count="11">
    <font>
      <name val="Calibri"/>
      <family val="2"/>
      <color theme="1"/>
      <sz val="11"/>
      <scheme val="minor"/>
    </font>
    <font>
      <name val="Arial"/>
      <b val="1"/>
      <color rgb="0016201D"/>
      <sz val="16"/>
    </font>
    <font>
      <name val="Arial"/>
      <i val="1"/>
      <color rgb="005D6B67"/>
      <sz val="10"/>
    </font>
    <font>
      <name val="Arial"/>
      <b val="1"/>
    </font>
    <font>
      <name val="Arial"/>
      <color rgb="000000FF"/>
    </font>
    <font>
      <name val="Arial"/>
    </font>
    <font>
      <name val="Arial"/>
      <b val="1"/>
      <color rgb="00FFFFFF"/>
    </font>
    <font>
      <name val="Arial"/>
      <b val="1"/>
      <color rgb="000F7B6C"/>
      <sz val="11"/>
    </font>
    <font>
      <name val="Arial"/>
      <color rgb="00008000"/>
    </font>
    <font>
      <name val="Arial"/>
      <b val="1"/>
      <sz val="12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0F7B6C"/>
      </patternFill>
    </fill>
    <fill>
      <patternFill patternType="solid">
        <fgColor rgb="00D9EFE9"/>
      </patternFill>
    </fill>
  </fills>
  <borders count="2">
    <border>
      <left/>
      <right/>
      <top/>
      <bottom/>
      <diagonal/>
    </border>
    <border>
      <left style="thin">
        <color rgb="00DCE3E0"/>
      </left>
      <right style="thin">
        <color rgb="00DCE3E0"/>
      </right>
      <top style="thin">
        <color rgb="00DCE3E0"/>
      </top>
      <bottom style="thin">
        <color rgb="00DCE3E0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164" fontId="5" fillId="0" borderId="1" pivotButton="0" quotePrefix="0" xfId="0"/>
    <xf numFmtId="166" fontId="2" fillId="0" borderId="1" pivotButton="0" quotePrefix="0" xfId="0"/>
    <xf numFmtId="164" fontId="5" fillId="0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7" fontId="5" fillId="0" borderId="1" pivotButton="0" quotePrefix="0" xfId="0"/>
    <xf numFmtId="168" fontId="5" fillId="0" borderId="1" applyAlignment="1" pivotButton="0" quotePrefix="0" xfId="0">
      <alignment horizontal="right"/>
    </xf>
    <xf numFmtId="169" fontId="5" fillId="0" borderId="1" applyAlignment="1" pivotButton="0" quotePrefix="0" xfId="0">
      <alignment horizontal="right"/>
    </xf>
    <xf numFmtId="0" fontId="3" fillId="4" borderId="1" pivotButton="0" quotePrefix="0" xfId="0"/>
    <xf numFmtId="164" fontId="9" fillId="4" borderId="1" applyAlignment="1" pivotButton="0" quotePrefix="0" xfId="0">
      <alignment horizontal="right"/>
    </xf>
    <xf numFmtId="166" fontId="9" fillId="4" borderId="1" applyAlignment="1" pivotButton="0" quotePrefix="0" xfId="0">
      <alignment horizontal="right"/>
    </xf>
    <xf numFmtId="0" fontId="9" fillId="4" borderId="1" applyAlignment="1" pivotButton="0" quotePrefix="0" xfId="0">
      <alignment horizontal="right"/>
    </xf>
    <xf numFmtId="0" fontId="6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vertical="center"/>
    </xf>
    <xf numFmtId="3" fontId="8" fillId="0" borderId="1" applyAlignment="1" pivotButton="0" quotePrefix="0" xfId="0">
      <alignment horizontal="right"/>
    </xf>
    <xf numFmtId="164" fontId="8" fillId="0" borderId="1" applyAlignment="1" pivotButton="0" quotePrefix="0" xfId="0">
      <alignment horizontal="right"/>
    </xf>
    <xf numFmtId="165" fontId="8" fillId="0" borderId="1" applyAlignment="1" pivotButton="0" quotePrefix="0" xfId="0">
      <alignment horizontal="right"/>
    </xf>
    <xf numFmtId="168" fontId="8" fillId="0" borderId="1" applyAlignment="1" pivotButton="0" quotePrefix="0" xfId="0">
      <alignment horizontal="right"/>
    </xf>
    <xf numFmtId="0" fontId="3" fillId="0" borderId="1" pivotButton="0" quotePrefix="0" xfId="0"/>
    <xf numFmtId="166" fontId="8" fillId="0" borderId="1" applyAlignment="1" pivotButton="0" quotePrefix="0" xfId="0">
      <alignment horizontal="right"/>
    </xf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2" fontId="5" fillId="0" borderId="1" applyAlignment="1" pivotButton="0" quotePrefix="0" xfId="0">
      <alignment horizontal="center"/>
    </xf>
    <xf numFmtId="2" fontId="4" fillId="2" borderId="1" applyAlignment="1" pivotButton="0" quotePrefix="0" xfId="0">
      <alignment horizontal="center"/>
    </xf>
    <xf numFmtId="0" fontId="5" fillId="0" borderId="0" pivotButton="0" quotePrefix="0" xfId="0"/>
    <xf numFmtId="164" fontId="4" fillId="2" borderId="1" pivotButton="0" quotePrefix="0" xfId="0"/>
    <xf numFmtId="164" fontId="3" fillId="4" borderId="1" pivotButton="0" quotePrefix="0" xfId="0"/>
    <xf numFmtId="3" fontId="4" fillId="2" borderId="1" pivotButton="0" quotePrefix="0" xfId="0"/>
    <xf numFmtId="3" fontId="3" fillId="4" borderId="1" pivotButton="0" quotePrefix="0" xfId="0"/>
    <xf numFmtId="1" fontId="4" fillId="2" borderId="1" pivotButton="0" quotePrefix="0" xfId="0"/>
    <xf numFmtId="1" fontId="3" fillId="4" borderId="1" pivotButton="0" quotePrefix="0" xfId="0"/>
    <xf numFmtId="165" fontId="4" fillId="2" borderId="1" pivotButton="0" quotePrefix="0" xfId="0"/>
    <xf numFmtId="165" fontId="3" fillId="4" borderId="1" pivotButton="0" quotePrefix="0" xfId="0"/>
    <xf numFmtId="166" fontId="4" fillId="2" borderId="1" pivotButton="0" quotePrefix="0" xfId="0"/>
    <xf numFmtId="166" fontId="3" fillId="4" borderId="1" pivotButton="0" quotePrefix="0" xfId="0"/>
    <xf numFmtId="167" fontId="4" fillId="2" borderId="1" pivotButton="0" quotePrefix="0" xfId="0"/>
    <xf numFmtId="167" fontId="3" fillId="4" borderId="1" pivotButton="0" quotePrefix="0" xfId="0"/>
    <xf numFmtId="165" fontId="5" fillId="0" borderId="1" pivotButton="0" quotePrefix="0" xfId="0"/>
    <xf numFmtId="1" fontId="5" fillId="0" borderId="1" pivotButton="0" quotePrefix="0" xfId="0"/>
    <xf numFmtId="0" fontId="6" fillId="3" borderId="0" applyAlignment="1" pivotButton="0" quotePrefix="0" xfId="0">
      <alignment horizontal="center" vertical="center" wrapText="1"/>
    </xf>
    <xf numFmtId="168" fontId="5" fillId="0" borderId="1" pivotButton="0" quotePrefix="0" xfId="0"/>
    <xf numFmtId="164" fontId="8" fillId="0" borderId="1" pivotButton="0" quotePrefix="0" xfId="0"/>
    <xf numFmtId="164" fontId="3" fillId="4" borderId="1" applyAlignment="1" pivotButton="0" quotePrefix="0" xfId="0">
      <alignment horizontal="right"/>
    </xf>
    <xf numFmtId="168" fontId="3" fillId="4" borderId="1" applyAlignment="1" pivotButton="0" quotePrefix="0" xfId="0">
      <alignment horizontal="right"/>
    </xf>
    <xf numFmtId="1" fontId="8" fillId="0" borderId="1" pivotButton="0" quotePrefix="0" xfId="0"/>
    <xf numFmtId="166" fontId="3" fillId="4" borderId="0" pivotButton="0" quotePrefix="0" xfId="0"/>
    <xf numFmtId="166" fontId="4" fillId="2" borderId="0" pivotButton="0" quotePrefix="0" xfId="0"/>
    <xf numFmtId="166" fontId="5" fillId="0" borderId="1" pivotButton="0" quotePrefix="0" xfId="0"/>
    <xf numFmtId="170" fontId="4" fillId="2" borderId="1" pivotButton="0" quotePrefix="0" xfId="0"/>
    <xf numFmtId="3" fontId="5" fillId="0" borderId="1" pivotButton="0" quotePrefix="0" xfId="0"/>
    <xf numFmtId="0" fontId="4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C2362B"/>
      </font>
    </dxf>
    <dxf>
      <font>
        <name val="Arial"/>
        <color rgb="00C2362B"/>
      </font>
    </dxf>
    <dxf>
      <font>
        <name val="Arial"/>
        <color rgb="009AA5A1"/>
      </font>
      <fill>
        <patternFill patternType="solid">
          <fgColor rgb="00EEF1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profit by month (60-month view)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Profit'!I4</f>
            </strRef>
          </tx>
          <spPr>
            <a:ln xmlns:a="http://schemas.openxmlformats.org/drawingml/2006/main" w="28000">
              <a:solidFill>
                <a:srgbClr val="0F7B6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Profit'!$B$5:$B$65</f>
            </numRef>
          </cat>
          <val>
            <numRef>
              <f>'Monthly Profit'!$I$5:$I$65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  <tickLblSkip val="6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profit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profit by week (first 52 weeks)</a:t>
            </a:r>
          </a:p>
        </rich>
      </tx>
    </title>
    <plotArea>
      <lineChart>
        <grouping val="standard"/>
        <ser>
          <idx val="0"/>
          <order val="0"/>
          <tx>
            <strRef>
              <f>'Weekly Profit'!K4</f>
            </strRef>
          </tx>
          <spPr>
            <a:ln xmlns:a="http://schemas.openxmlformats.org/drawingml/2006/main" w="28000">
              <a:solidFill>
                <a:srgbClr val="0F7B6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'Weekly Profit'!$B$5:$B$57</f>
            </numRef>
          </cat>
          <val>
            <numRef>
              <f>'Weekly Profit'!$K$5:$K$57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  <tickLblSkip val="4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profit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return by number of devices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'ROI by Fleet Size'!F4</f>
            </strRef>
          </tx>
          <spPr>
            <a:solidFill xmlns:a="http://schemas.openxmlformats.org/drawingml/2006/main">
              <a:srgbClr val="0F7B6C"/>
            </a:solidFill>
            <a:ln xmlns:a="http://schemas.openxmlformats.org/drawingml/2006/main">
              <a:prstDash val="solid"/>
            </a:ln>
          </spPr>
          <cat>
            <numRef>
              <f>'ROI by Fleet Size'!$C$5:$C$12</f>
            </numRef>
          </cat>
          <val>
            <numRef>
              <f>'ROI by Fleet Size'!$F$5:$F$12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devices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return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cash by week (first 52 weeks)</a:t>
            </a:r>
          </a:p>
        </rich>
      </tx>
    </title>
    <plotArea>
      <lineChart>
        <grouping val="standard"/>
        <ser>
          <idx val="0"/>
          <order val="0"/>
          <tx>
            <strRef>
              <f>'Cash Flow'!I11</f>
            </strRef>
          </tx>
          <spPr>
            <a:ln xmlns:a="http://schemas.openxmlformats.org/drawingml/2006/main" w="28000">
              <a:solidFill>
                <a:srgbClr val="0F7B6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 Flow'!$B$12:$B$64</f>
            </numRef>
          </cat>
          <val>
            <numRef>
              <f>'Cash Flow'!$I$12:$I$64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  <tickLblSkip val="4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cash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return over horizon by number of devices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'ROI by Fleet Size'!F4</f>
            </strRef>
          </tx>
          <spPr>
            <a:solidFill xmlns:a="http://schemas.openxmlformats.org/drawingml/2006/main">
              <a:srgbClr val="0F7B6C"/>
            </a:solidFill>
            <a:ln xmlns:a="http://schemas.openxmlformats.org/drawingml/2006/main">
              <a:prstDash val="solid"/>
            </a:ln>
          </spPr>
          <cat>
            <numRef>
              <f>'ROI by Fleet Size'!$C$5:$C$12</f>
            </numRef>
          </cat>
          <val>
            <numRef>
              <f>'ROI by Fleet Size'!$F$5:$F$12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devices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return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ROI model</author>
  </authors>
  <commentList>
    <comment ref="G9" authorId="0" shapeId="0">
      <text>
        <t>Active values are in the display currency. Device price also reflects the 50% option.</t>
      </text>
    </comment>
    <comment ref="E10" authorId="0" shapeId="0">
      <text>
        <t>Base figures supplied by the user: $500 device, 20 devices, 4-month life, 8 recorded hrs giving about 5 accepted hrs, 6 days a week, $9 per hour price, $3 collection cost, 15-day customer terms, 6-month horizon. No separate overhead: the $3 per hour covers it. Conservative and Optimistic columns are illustrative.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34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52</row>
      <rowOff>0</rowOff>
    </from>
    <ext cx="864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70</row>
      <rowOff>0</rowOff>
    </from>
    <ext cx="8640000" cy="30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3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6" customWidth="1" min="3" max="3"/>
    <col width="16" customWidth="1" min="4" max="4"/>
    <col width="30" customWidth="1" min="5" max="5"/>
    <col width="14" customWidth="1" min="6" max="6"/>
    <col width="10" customWidth="1" min="7" max="7"/>
  </cols>
  <sheetData>
    <row r="1">
      <c r="A1" s="1" t="n"/>
      <c r="B1" s="2" t="inlineStr">
        <is>
          <t>Data Device ROI Model</t>
        </is>
      </c>
      <c r="C1" s="1" t="n"/>
      <c r="D1" s="1" t="n"/>
      <c r="E1" s="1" t="n"/>
      <c r="F1" s="1" t="n"/>
      <c r="G1" s="1" t="n"/>
    </row>
    <row r="2">
      <c r="A2" s="1" t="n"/>
      <c r="B2" s="3">
        <f>"Scenario: "&amp;Inputs!$D$4&amp;"   |   Currency: "&amp;Currency&amp;"   |   50% device price: "&amp;Inputs!$D$7&amp;"   |   Horizon: "&amp;Horizon&amp;" months"</f>
        <v/>
      </c>
      <c r="C2" s="1" t="n"/>
      <c r="D2" s="1" t="n"/>
      <c r="E2" s="1" t="n"/>
      <c r="F2" s="1" t="n"/>
      <c r="G2" s="1" t="n"/>
    </row>
    <row r="3">
      <c r="A3" s="1" t="n"/>
      <c r="B3" s="3" t="inlineStr">
        <is>
          <t>Change assumptions on the Inputs sheet. All figures below update automatically. A month is 4 weeks.</t>
        </is>
      </c>
      <c r="C3" s="1" t="n"/>
      <c r="D3" s="1" t="n"/>
      <c r="E3" s="1" t="n"/>
      <c r="F3" s="1" t="n"/>
      <c r="G3" s="1" t="n"/>
    </row>
    <row r="4">
      <c r="A4" s="1" t="n"/>
      <c r="B4" s="1" t="n"/>
      <c r="C4" s="1" t="n"/>
      <c r="D4" s="1" t="n"/>
      <c r="E4" s="1" t="n"/>
      <c r="F4" s="1" t="n"/>
      <c r="G4" s="1" t="n"/>
    </row>
    <row r="5">
      <c r="A5" s="1" t="n"/>
      <c r="B5" s="4" t="inlineStr">
        <is>
          <t>Headline results</t>
        </is>
      </c>
      <c r="C5" s="1" t="n"/>
      <c r="D5" s="1" t="n"/>
      <c r="E5" s="4" t="inlineStr">
        <is>
          <t>Where the hours go (per month)</t>
        </is>
      </c>
      <c r="F5" s="1" t="n"/>
      <c r="G5" s="1" t="n"/>
    </row>
    <row r="6">
      <c r="A6" s="1" t="n"/>
      <c r="B6" s="5" t="inlineStr">
        <is>
          <t>Number of devices</t>
        </is>
      </c>
      <c r="C6" s="6">
        <f>Devices</f>
        <v/>
      </c>
      <c r="D6" s="1" t="n"/>
      <c r="E6" s="5" t="inlineStr">
        <is>
          <t>Recorded</t>
        </is>
      </c>
      <c r="F6" s="7">
        <f>Recorded</f>
        <v/>
      </c>
      <c r="G6" s="8">
        <f>IF(Recorded&gt;0,ABS(F6)/Recorded,0)</f>
        <v/>
      </c>
    </row>
    <row r="7">
      <c r="A7" s="1" t="n"/>
      <c r="B7" s="5" t="inlineStr">
        <is>
          <t>Device price paid (after 50% option)</t>
        </is>
      </c>
      <c r="C7" s="9">
        <f>DevPrice</f>
        <v/>
      </c>
      <c r="D7" s="1" t="n"/>
      <c r="E7" s="5" t="inlineStr">
        <is>
          <t>Not sold</t>
        </is>
      </c>
      <c r="F7" s="7">
        <f>-(Recorded-Accepted)</f>
        <v/>
      </c>
      <c r="G7" s="8">
        <f>IF(Recorded&gt;0,ABS(F7)/Recorded,0)</f>
        <v/>
      </c>
    </row>
    <row r="8">
      <c r="A8" s="1" t="n"/>
      <c r="B8" s="5" t="inlineStr">
        <is>
          <t>Investment (devices x price)</t>
        </is>
      </c>
      <c r="C8" s="9">
        <f>Invest</f>
        <v/>
      </c>
      <c r="D8" s="1" t="n"/>
      <c r="E8" s="5" t="inlineStr">
        <is>
          <t>Sold</t>
        </is>
      </c>
      <c r="F8" s="7">
        <f>Accepted</f>
        <v/>
      </c>
      <c r="G8" s="8">
        <f>IF(Recorded&gt;0,ABS(F8)/Recorded,0)</f>
        <v/>
      </c>
    </row>
    <row r="9">
      <c r="A9" s="1" t="n"/>
      <c r="B9" s="5" t="inlineStr">
        <is>
          <t>Sold hours per device per day</t>
        </is>
      </c>
      <c r="C9" s="10">
        <f>SoldPerDevDay</f>
        <v/>
      </c>
      <c r="D9" s="1" t="n"/>
      <c r="E9" s="1" t="n"/>
      <c r="F9" s="1" t="n"/>
      <c r="G9" s="1" t="n"/>
    </row>
    <row r="10">
      <c r="A10" s="1" t="n"/>
      <c r="B10" s="5" t="inlineStr">
        <is>
          <t>Accepted (sold) hours per month</t>
        </is>
      </c>
      <c r="C10" s="9">
        <f>Accepted</f>
        <v/>
      </c>
      <c r="D10" s="1" t="n"/>
      <c r="E10" s="5" t="inlineStr">
        <is>
          <t>All-in cost per sold hour</t>
        </is>
      </c>
      <c r="F10" s="11">
        <f>CostPerAccepted</f>
        <v/>
      </c>
      <c r="G10" s="1" t="n"/>
    </row>
    <row r="11">
      <c r="A11" s="1" t="n"/>
      <c r="B11" s="5" t="inlineStr">
        <is>
          <t>Revenue earned per month</t>
        </is>
      </c>
      <c r="C11" s="9">
        <f>Revenue</f>
        <v/>
      </c>
      <c r="D11" s="1" t="n"/>
      <c r="E11" s="5" t="inlineStr">
        <is>
          <t>Profit per sold hour</t>
        </is>
      </c>
      <c r="F11" s="11">
        <f>PricePerHr-CostPerAccepted</f>
        <v/>
      </c>
      <c r="G11" s="1" t="n"/>
    </row>
    <row r="12">
      <c r="A12" s="1" t="n"/>
      <c r="B12" s="5" t="inlineStr">
        <is>
          <t>Collection cost per month</t>
        </is>
      </c>
      <c r="C12" s="9">
        <f>Collection</f>
        <v/>
      </c>
      <c r="D12" s="1" t="n"/>
      <c r="E12" s="3" t="inlineStr">
        <is>
          <t>All-in cost spreads device price over its lifespan.</t>
        </is>
      </c>
      <c r="F12" s="1" t="n"/>
      <c r="G12" s="1" t="n"/>
    </row>
    <row r="13">
      <c r="A13" s="1" t="n"/>
      <c r="B13" s="5" t="inlineStr">
        <is>
          <t>Operating profit per month</t>
        </is>
      </c>
      <c r="C13" s="9">
        <f>OpProfit</f>
        <v/>
      </c>
      <c r="D13" s="1" t="n"/>
      <c r="E13" s="1" t="n"/>
      <c r="F13" s="1" t="n"/>
      <c r="G13" s="1" t="n"/>
    </row>
    <row r="14">
      <c r="A14" s="1" t="n"/>
      <c r="B14" s="5" t="inlineStr">
        <is>
          <t>Payback (profit covers devices)</t>
        </is>
      </c>
      <c r="C14" s="12">
        <f>IF(Invest=0,"n/a",IF(COUNT('Weekly Profit'!$L$5:$L$245)=0,IF(OpProfit&lt;=0,"Never","Beyond horizon"),MIN('Weekly Profit'!$L$5:$L$245)))</f>
        <v/>
      </c>
      <c r="D14" s="1" t="n"/>
      <c r="E14" s="1" t="n"/>
      <c r="F14" s="1" t="n"/>
      <c r="G14" s="1" t="n"/>
    </row>
    <row r="15">
      <c r="A15" s="1" t="n"/>
      <c r="B15" s="5" t="inlineStr">
        <is>
          <t>Payback in weeks</t>
        </is>
      </c>
      <c r="C15" s="13">
        <f>IF(ISNUMBER(C14),ROUNDUP(C14*4,0),C14)</f>
        <v/>
      </c>
      <c r="D15" s="1" t="n"/>
      <c r="E15" s="1" t="n"/>
      <c r="F15" s="1" t="n"/>
      <c r="G15" s="1" t="n"/>
    </row>
    <row r="16">
      <c r="A16" s="1" t="n"/>
      <c r="B16" s="5" t="inlineStr">
        <is>
          <t>Total device spend incl. replacements</t>
        </is>
      </c>
      <c r="C16" s="9">
        <f>Invest*Purchases</f>
        <v/>
      </c>
      <c r="D16" s="1" t="n"/>
      <c r="E16" s="1" t="n"/>
      <c r="F16" s="1" t="n"/>
      <c r="G16" s="1" t="n"/>
    </row>
    <row r="17">
      <c r="A17" s="1" t="n"/>
      <c r="B17" s="14" t="inlineStr">
        <is>
          <t>Net return over horizon</t>
        </is>
      </c>
      <c r="C17" s="15">
        <f>Horizon*OpProfit-Invest*Purchases</f>
        <v/>
      </c>
      <c r="D17" s="1" t="n"/>
      <c r="E17" s="1" t="n"/>
      <c r="F17" s="1" t="n"/>
      <c r="G17" s="1" t="n"/>
    </row>
    <row r="18">
      <c r="A18" s="1" t="n"/>
      <c r="B18" s="14" t="inlineStr">
        <is>
          <t>ROI over horizon</t>
        </is>
      </c>
      <c r="C18" s="16">
        <f>IF(Invest&gt;0,C17/Invest,0)</f>
        <v/>
      </c>
      <c r="D18" s="1" t="n"/>
      <c r="E18" s="1" t="n"/>
      <c r="F18" s="1" t="n"/>
      <c r="G18" s="1" t="n"/>
    </row>
    <row r="19">
      <c r="A19" s="1" t="n"/>
      <c r="B19" s="14" t="inlineStr">
        <is>
          <t>Profitable?</t>
        </is>
      </c>
      <c r="C19" s="17">
        <f>IF(C17&gt;0,"Yes","No")</f>
        <v/>
      </c>
      <c r="D19" s="1" t="n"/>
      <c r="E19" s="1" t="n"/>
      <c r="F19" s="1" t="n"/>
      <c r="G19" s="1" t="n"/>
    </row>
    <row r="20">
      <c r="A20" s="1" t="n"/>
      <c r="B20" s="3" t="inlineStr">
        <is>
          <t>Profit counts revenue when data is accepted. For when cash actually arrives (payment terms) and how much cash you need up front, see the Cash Flow sheet.</t>
        </is>
      </c>
      <c r="C20" s="1" t="n"/>
      <c r="D20" s="1" t="n"/>
      <c r="E20" s="1" t="n"/>
      <c r="F20" s="1" t="n"/>
      <c r="G20" s="1" t="n"/>
    </row>
    <row r="21">
      <c r="A21" s="1" t="n"/>
      <c r="B21" s="1" t="n"/>
      <c r="C21" s="1" t="n"/>
      <c r="D21" s="1" t="n"/>
      <c r="E21" s="1" t="n"/>
      <c r="F21" s="1" t="n"/>
      <c r="G21" s="1" t="n"/>
    </row>
    <row r="22">
      <c r="A22" s="1" t="n"/>
      <c r="B22" s="4" t="inlineStr">
        <is>
          <t>Scenario comparison</t>
        </is>
      </c>
      <c r="C22" s="1" t="n"/>
      <c r="D22" s="1" t="n"/>
      <c r="E22" s="1" t="n"/>
      <c r="F22" s="1" t="n"/>
      <c r="G22" s="1" t="n"/>
    </row>
    <row r="23">
      <c r="A23" s="1" t="n"/>
      <c r="B23" s="18" t="inlineStr">
        <is>
          <t>Metric</t>
        </is>
      </c>
      <c r="C23" s="19" t="inlineStr">
        <is>
          <t>Conservative</t>
        </is>
      </c>
      <c r="D23" s="19" t="inlineStr">
        <is>
          <t>Base</t>
        </is>
      </c>
      <c r="E23" s="19" t="inlineStr">
        <is>
          <t>Optimistic</t>
        </is>
      </c>
      <c r="F23" s="1" t="n"/>
      <c r="G23" s="1" t="n"/>
    </row>
    <row r="24">
      <c r="A24" s="1" t="n"/>
      <c r="B24" s="5" t="inlineStr">
        <is>
          <t>Number of devices</t>
        </is>
      </c>
      <c r="C24" s="20">
        <f>(Inputs!$D$11)</f>
        <v/>
      </c>
      <c r="D24" s="20">
        <f>(Inputs!$E$11)</f>
        <v/>
      </c>
      <c r="E24" s="20">
        <f>(Inputs!$F$11)</f>
        <v/>
      </c>
      <c r="F24" s="1" t="n"/>
      <c r="G24" s="1" t="n"/>
    </row>
    <row r="25">
      <c r="A25" s="1" t="n"/>
      <c r="B25" s="5" t="inlineStr">
        <is>
          <t>Investment</t>
        </is>
      </c>
      <c r="C25" s="21">
        <f>((Inputs!$D$11)*(Inputs!$D$10*HalfFactor))*FX</f>
        <v/>
      </c>
      <c r="D25" s="21">
        <f>((Inputs!$E$11)*(Inputs!$E$10*HalfFactor))*FX</f>
        <v/>
      </c>
      <c r="E25" s="21">
        <f>((Inputs!$F$11)*(Inputs!$F$10*HalfFactor))*FX</f>
        <v/>
      </c>
      <c r="F25" s="1" t="n"/>
      <c r="G25" s="1" t="n"/>
    </row>
    <row r="26">
      <c r="A26" s="1" t="n"/>
      <c r="B26" s="5" t="inlineStr">
        <is>
          <t>Sold hours per device per day</t>
        </is>
      </c>
      <c r="C26" s="22">
        <f>Inputs!$D$13*Inputs!$D$14</f>
        <v/>
      </c>
      <c r="D26" s="22">
        <f>Inputs!$E$13*Inputs!$E$14</f>
        <v/>
      </c>
      <c r="E26" s="22">
        <f>Inputs!$F$13*Inputs!$F$14</f>
        <v/>
      </c>
      <c r="F26" s="1" t="n"/>
      <c r="G26" s="1" t="n"/>
    </row>
    <row r="27">
      <c r="A27" s="1" t="n"/>
      <c r="B27" s="5" t="inlineStr">
        <is>
          <t>Accepted hours / month</t>
        </is>
      </c>
      <c r="C27" s="21">
        <f>(Inputs!$D$11)*Inputs!$D$15*4*Inputs!$D$13*Inputs!$D$14</f>
        <v/>
      </c>
      <c r="D27" s="21">
        <f>(Inputs!$E$11)*Inputs!$E$15*4*Inputs!$E$13*Inputs!$E$14</f>
        <v/>
      </c>
      <c r="E27" s="21">
        <f>(Inputs!$F$11)*Inputs!$F$15*4*Inputs!$F$13*Inputs!$F$14</f>
        <v/>
      </c>
      <c r="F27" s="1" t="n"/>
      <c r="G27" s="1" t="n"/>
    </row>
    <row r="28">
      <c r="A28" s="1" t="n"/>
      <c r="B28" s="5" t="inlineStr">
        <is>
          <t>Operating profit / month</t>
        </is>
      </c>
      <c r="C28" s="21">
        <f>(((Inputs!$D$11)*(Inputs!$D$13)*(Inputs!$D$15*4))*((Inputs!$D$14)*(Inputs!$D$16)-(Inputs!$D$18)))*FX</f>
        <v/>
      </c>
      <c r="D28" s="21">
        <f>(((Inputs!$E$11)*(Inputs!$E$13)*(Inputs!$E$15*4))*((Inputs!$E$14)*(Inputs!$E$16)-(Inputs!$E$18)))*FX</f>
        <v/>
      </c>
      <c r="E28" s="21">
        <f>(((Inputs!$F$11)*(Inputs!$F$13)*(Inputs!$F$15*4))*((Inputs!$F$14)*(Inputs!$F$16)-(Inputs!$F$18)))*FX</f>
        <v/>
      </c>
      <c r="F28" s="1" t="n"/>
      <c r="G28" s="1" t="n"/>
    </row>
    <row r="29">
      <c r="A29" s="1" t="n"/>
      <c r="B29" s="5" t="inlineStr">
        <is>
          <t>Simple payback</t>
        </is>
      </c>
      <c r="C29" s="23">
        <f>IF((((Inputs!$D$11)*(Inputs!$D$13)*(Inputs!$D$15*4))*((Inputs!$D$14)*(Inputs!$D$16)-(Inputs!$D$18)))&gt;0,((Inputs!$D$11)*(Inputs!$D$10*HalfFactor))/(((Inputs!$D$11)*(Inputs!$D$13)*(Inputs!$D$15*4))*((Inputs!$D$14)*(Inputs!$D$16)-(Inputs!$D$18))),"Never")</f>
        <v/>
      </c>
      <c r="D29" s="23">
        <f>IF((((Inputs!$E$11)*(Inputs!$E$13)*(Inputs!$E$15*4))*((Inputs!$E$14)*(Inputs!$E$16)-(Inputs!$E$18)))&gt;0,((Inputs!$E$11)*(Inputs!$E$10*HalfFactor))/(((Inputs!$E$11)*(Inputs!$E$13)*(Inputs!$E$15*4))*((Inputs!$E$14)*(Inputs!$E$16)-(Inputs!$E$18))),"Never")</f>
        <v/>
      </c>
      <c r="E29" s="23">
        <f>IF((((Inputs!$F$11)*(Inputs!$F$13)*(Inputs!$F$15*4))*((Inputs!$F$14)*(Inputs!$F$16)-(Inputs!$F$18)))&gt;0,((Inputs!$F$11)*(Inputs!$F$10*HalfFactor))/(((Inputs!$F$11)*(Inputs!$F$13)*(Inputs!$F$15*4))*((Inputs!$F$14)*(Inputs!$F$16)-(Inputs!$F$18))),"Never")</f>
        <v/>
      </c>
      <c r="F29" s="1" t="n"/>
      <c r="G29" s="1" t="n"/>
    </row>
    <row r="30">
      <c r="A30" s="1" t="n"/>
      <c r="B30" s="5" t="inlineStr">
        <is>
          <t>Net return over horizon</t>
        </is>
      </c>
      <c r="C30" s="21">
        <f>((Inputs!$D$19)*(((Inputs!$D$11)*(Inputs!$D$13)*(Inputs!$D$15*4))*((Inputs!$D$14)*(Inputs!$D$16)-(Inputs!$D$18)))-((Inputs!$D$11)*(Inputs!$D$10*HalfFactor))*(1+INT(((Inputs!$D$19)-1)/MAX(1,Inputs!$D$12))))*FX</f>
        <v/>
      </c>
      <c r="D30" s="21">
        <f>((Inputs!$E$19)*(((Inputs!$E$11)*(Inputs!$E$13)*(Inputs!$E$15*4))*((Inputs!$E$14)*(Inputs!$E$16)-(Inputs!$E$18)))-((Inputs!$E$11)*(Inputs!$E$10*HalfFactor))*(1+INT(((Inputs!$E$19)-1)/MAX(1,Inputs!$E$12))))*FX</f>
        <v/>
      </c>
      <c r="E30" s="21">
        <f>((Inputs!$F$19)*(((Inputs!$F$11)*(Inputs!$F$13)*(Inputs!$F$15*4))*((Inputs!$F$14)*(Inputs!$F$16)-(Inputs!$F$18)))-((Inputs!$F$11)*(Inputs!$F$10*HalfFactor))*(1+INT(((Inputs!$F$19)-1)/MAX(1,Inputs!$F$12))))*FX</f>
        <v/>
      </c>
      <c r="F30" s="1" t="n"/>
      <c r="G30" s="1" t="n"/>
    </row>
    <row r="31">
      <c r="A31" s="1" t="n"/>
      <c r="B31" s="24" t="inlineStr">
        <is>
          <t>ROI over horizon</t>
        </is>
      </c>
      <c r="C31" s="25">
        <f>IF(((Inputs!$D$11)*(Inputs!$D$10*HalfFactor))&gt;0,((Inputs!$D$19)*(((Inputs!$D$11)*(Inputs!$D$13)*(Inputs!$D$15*4))*((Inputs!$D$14)*(Inputs!$D$16)-(Inputs!$D$18)))-((Inputs!$D$11)*(Inputs!$D$10*HalfFactor))*(1+INT(((Inputs!$D$19)-1)/MAX(1,Inputs!$D$12))))/((Inputs!$D$11)*(Inputs!$D$10*HalfFactor)),0)</f>
        <v/>
      </c>
      <c r="D31" s="25">
        <f>IF(((Inputs!$E$11)*(Inputs!$E$10*HalfFactor))&gt;0,((Inputs!$E$19)*(((Inputs!$E$11)*(Inputs!$E$13)*(Inputs!$E$15*4))*((Inputs!$E$14)*(Inputs!$E$16)-(Inputs!$E$18)))-((Inputs!$E$11)*(Inputs!$E$10*HalfFactor))*(1+INT(((Inputs!$E$19)-1)/MAX(1,Inputs!$E$12))))/((Inputs!$E$11)*(Inputs!$E$10*HalfFactor)),0)</f>
        <v/>
      </c>
      <c r="E31" s="25">
        <f>IF(((Inputs!$F$11)*(Inputs!$F$10*HalfFactor))&gt;0,((Inputs!$F$19)*(((Inputs!$F$11)*(Inputs!$F$13)*(Inputs!$F$15*4))*((Inputs!$F$14)*(Inputs!$F$16)-(Inputs!$F$18)))-((Inputs!$F$11)*(Inputs!$F$10*HalfFactor))*(1+INT(((Inputs!$F$19)-1)/MAX(1,Inputs!$F$12))))/((Inputs!$F$11)*(Inputs!$F$10*HalfFactor)),0)</f>
        <v/>
      </c>
      <c r="F31" s="1" t="n"/>
      <c r="G31" s="1" t="n"/>
    </row>
    <row r="32">
      <c r="A32" s="1" t="n"/>
      <c r="B32" s="3" t="inlineStr">
        <is>
          <t>Simple payback = investment / monthly operating profit. The headline payback uses week-by-week cash timing.</t>
        </is>
      </c>
      <c r="C32" s="1" t="n"/>
      <c r="D32" s="1" t="n"/>
      <c r="E32" s="1" t="n"/>
      <c r="F32" s="1" t="n"/>
      <c r="G32" s="1" t="n"/>
    </row>
    <row r="33">
      <c r="A33" s="1" t="n"/>
      <c r="B33" s="1" t="n"/>
      <c r="C33" s="1" t="n"/>
      <c r="D33" s="1" t="n"/>
      <c r="E33" s="1" t="n"/>
      <c r="F33" s="1" t="n"/>
      <c r="G33" s="1" t="n"/>
    </row>
    <row r="34">
      <c r="A34" s="1" t="n"/>
      <c r="B34" s="4" t="inlineStr">
        <is>
          <t>Charts</t>
        </is>
      </c>
      <c r="C34" s="1" t="n"/>
      <c r="D34" s="1" t="n"/>
      <c r="E34" s="1" t="n"/>
      <c r="F34" s="1" t="n"/>
      <c r="G34" s="1" t="n"/>
    </row>
  </sheetData>
  <conditionalFormatting sqref="C6:C19">
    <cfRule type="cellIs" priority="1" operator="lessThan" dxfId="0">
      <formula>0</formula>
    </cfRule>
  </conditionalFormatting>
  <conditionalFormatting sqref="C24:E31">
    <cfRule type="cellIs" priority="2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" customWidth="1" min="1" max="1"/>
    <col width="36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74" customWidth="1" min="8" max="8"/>
  </cols>
  <sheetData>
    <row r="1">
      <c r="A1" s="1" t="n"/>
      <c r="B1" s="2" t="inlineStr">
        <is>
          <t>Data Device ROI Model: Inputs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Edit the yellow cells (blue text). Everything else in the workbook is calculated.</t>
        </is>
      </c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>
      <c r="A4" s="1" t="n"/>
      <c r="B4" s="26" t="inlineStr">
        <is>
          <t>Active scenario</t>
        </is>
      </c>
      <c r="C4" s="1" t="n"/>
      <c r="D4" s="27" t="inlineStr">
        <is>
          <t>Base</t>
        </is>
      </c>
      <c r="E4" s="1" t="n"/>
      <c r="F4" s="1" t="n"/>
      <c r="G4" s="28" t="inlineStr">
        <is>
          <t>Factor</t>
        </is>
      </c>
      <c r="H4" s="3" t="inlineStr">
        <is>
          <t>Pick Conservative, Base or Optimistic. Every other sheet follows this choice.</t>
        </is>
      </c>
    </row>
    <row r="5">
      <c r="A5" s="1" t="n"/>
      <c r="B5" s="26" t="inlineStr">
        <is>
          <t>Display currency</t>
        </is>
      </c>
      <c r="C5" s="1" t="n"/>
      <c r="D5" s="27" t="inlineStr">
        <is>
          <t>USD</t>
        </is>
      </c>
      <c r="E5" s="1" t="n"/>
      <c r="F5" s="1" t="n"/>
      <c r="G5" s="29">
        <f>IF(D5="INR",D6,1)</f>
        <v/>
      </c>
      <c r="H5" s="3" t="inlineStr">
        <is>
          <t>Enter inputs below in USD. INR multiplies every amount by the rate.</t>
        </is>
      </c>
    </row>
    <row r="6">
      <c r="A6" s="1" t="n"/>
      <c r="B6" s="26" t="inlineStr">
        <is>
          <t>USD to INR rate</t>
        </is>
      </c>
      <c r="C6" s="1" t="n"/>
      <c r="D6" s="30" t="n">
        <v>95</v>
      </c>
      <c r="E6" s="1" t="n"/>
      <c r="F6" s="1" t="n"/>
      <c r="G6" s="1" t="n"/>
      <c r="H6" s="3" t="inlineStr">
        <is>
          <t>1 USD = this many INR. Supplied by the user.</t>
        </is>
      </c>
    </row>
    <row r="7">
      <c r="A7" s="1" t="n"/>
      <c r="B7" s="26" t="inlineStr">
        <is>
          <t>Buy devices at 50% of price</t>
        </is>
      </c>
      <c r="C7" s="1" t="n"/>
      <c r="D7" s="27" t="inlineStr">
        <is>
          <t>No</t>
        </is>
      </c>
      <c r="E7" s="1" t="n"/>
      <c r="F7" s="1" t="n"/>
      <c r="G7" s="29">
        <f>IF(D7="Yes",0.5,1)</f>
        <v/>
      </c>
      <c r="H7" s="3" t="inlineStr">
        <is>
          <t>Yes halves every device purchase, incl. replacements.</t>
        </is>
      </c>
    </row>
    <row r="8">
      <c r="A8" s="1" t="n"/>
      <c r="B8" s="1" t="n"/>
      <c r="C8" s="1" t="n"/>
      <c r="D8" s="1" t="n"/>
      <c r="E8" s="1" t="n"/>
      <c r="F8" s="1" t="n"/>
      <c r="G8" s="1" t="n"/>
      <c r="H8" s="1" t="n"/>
    </row>
    <row r="9">
      <c r="A9" s="1" t="n"/>
      <c r="B9" s="18" t="inlineStr">
        <is>
          <t>Assumption (enter money in USD)</t>
        </is>
      </c>
      <c r="C9" s="19" t="inlineStr">
        <is>
          <t>Unit</t>
        </is>
      </c>
      <c r="D9" s="19" t="inlineStr">
        <is>
          <t>Conservative</t>
        </is>
      </c>
      <c r="E9" s="19" t="inlineStr">
        <is>
          <t>Base</t>
        </is>
      </c>
      <c r="F9" s="19" t="inlineStr">
        <is>
          <t>Optimistic</t>
        </is>
      </c>
      <c r="G9" s="19" t="inlineStr">
        <is>
          <t>Active</t>
        </is>
      </c>
      <c r="H9" s="18" t="inlineStr">
        <is>
          <t>Notes</t>
        </is>
      </c>
    </row>
    <row r="10">
      <c r="A10" s="1" t="n"/>
      <c r="B10" s="31" t="inlineStr">
        <is>
          <t>Device price</t>
        </is>
      </c>
      <c r="C10" s="3" t="inlineStr">
        <is>
          <t>USD / device</t>
        </is>
      </c>
      <c r="D10" s="32" t="n">
        <v>500</v>
      </c>
      <c r="E10" s="32" t="n">
        <v>500</v>
      </c>
      <c r="F10" s="32" t="n">
        <v>500</v>
      </c>
      <c r="G10" s="33">
        <f>INDEX(D10:F10,MATCH($D$4,$D$9:$F$9,0))*FX*HalfFactor</f>
        <v/>
      </c>
      <c r="H10" s="3" t="inlineStr">
        <is>
          <t>List price of one device. Active value applies the 50% option and currency.</t>
        </is>
      </c>
    </row>
    <row r="11">
      <c r="A11" s="1" t="n"/>
      <c r="B11" s="31" t="inlineStr">
        <is>
          <t>Number of devices</t>
        </is>
      </c>
      <c r="C11" s="3" t="inlineStr">
        <is>
          <t>devices</t>
        </is>
      </c>
      <c r="D11" s="34" t="n">
        <v>20</v>
      </c>
      <c r="E11" s="34" t="n">
        <v>20</v>
      </c>
      <c r="F11" s="34" t="n">
        <v>20</v>
      </c>
      <c r="G11" s="35">
        <f>INDEX(D11:F11,MATCH($D$4,$D$9:$F$9,0))</f>
        <v/>
      </c>
      <c r="H11" s="3" t="inlineStr">
        <is>
          <t>Investment is worked out from this: devices x device price.</t>
        </is>
      </c>
    </row>
    <row r="12">
      <c r="A12" s="1" t="n"/>
      <c r="B12" s="31" t="inlineStr">
        <is>
          <t>Device lifespan</t>
        </is>
      </c>
      <c r="C12" s="3" t="inlineStr">
        <is>
          <t>months</t>
        </is>
      </c>
      <c r="D12" s="36" t="n">
        <v>3</v>
      </c>
      <c r="E12" s="36" t="n">
        <v>4</v>
      </c>
      <c r="F12" s="36" t="n">
        <v>5</v>
      </c>
      <c r="G12" s="37">
        <f>INDEX(D12:F12,MATCH($D$4,$D$9:$F$9,0))</f>
        <v/>
      </c>
      <c r="H12" s="3" t="inlineStr">
        <is>
          <t>Fleet is bought again when devices wear out inside the horizon.</t>
        </is>
      </c>
    </row>
    <row r="13">
      <c r="A13" s="1" t="n"/>
      <c r="B13" s="31" t="inlineStr">
        <is>
          <t>Data recorded per device per day</t>
        </is>
      </c>
      <c r="C13" s="3" t="inlineStr">
        <is>
          <t>hours</t>
        </is>
      </c>
      <c r="D13" s="38" t="n">
        <v>7</v>
      </c>
      <c r="E13" s="38" t="n">
        <v>8</v>
      </c>
      <c r="F13" s="38" t="n">
        <v>9</v>
      </c>
      <c r="G13" s="39">
        <f>INDEX(D13:F13,MATCH($D$4,$D$9:$F$9,0))</f>
        <v/>
      </c>
      <c r="H13" s="3" t="inlineStr">
        <is>
          <t>Raw hours captured by one device in a day.</t>
        </is>
      </c>
    </row>
    <row r="14">
      <c r="A14" s="1" t="n"/>
      <c r="B14" s="31" t="inlineStr">
        <is>
          <t>Sellable rate</t>
        </is>
      </c>
      <c r="C14" s="3" t="inlineStr">
        <is>
          <t>% of recorded</t>
        </is>
      </c>
      <c r="D14" s="40" t="n">
        <v>0.525</v>
      </c>
      <c r="E14" s="40" t="n">
        <v>0.625</v>
      </c>
      <c r="F14" s="40" t="n">
        <v>0.725</v>
      </c>
      <c r="G14" s="41">
        <f>INDEX(D14:F14,MATCH($D$4,$D$9:$F$9,0))</f>
        <v/>
      </c>
      <c r="H14" s="3" t="inlineStr">
        <is>
          <t>Share of recorded hours the buyer accepts and pays for, after wastage and QA rejections. Base: 62.5% = 5 of 8 hrs.</t>
        </is>
      </c>
    </row>
    <row r="15">
      <c r="A15" s="1" t="n"/>
      <c r="B15" s="31" t="inlineStr">
        <is>
          <t>Active days per week</t>
        </is>
      </c>
      <c r="C15" s="3" t="inlineStr">
        <is>
          <t>days (1-7)</t>
        </is>
      </c>
      <c r="D15" s="38" t="n">
        <v>5.5</v>
      </c>
      <c r="E15" s="38" t="n">
        <v>6</v>
      </c>
      <c r="F15" s="38" t="n">
        <v>6.5</v>
      </c>
      <c r="G15" s="39">
        <f>INDEX(D15:F15,MATCH($D$4,$D$9:$F$9,0))</f>
        <v/>
      </c>
      <c r="H15" s="3" t="inlineStr">
        <is>
          <t>A month is counted as 4 weeks, so 6 days a week = 24 days a month.</t>
        </is>
      </c>
    </row>
    <row r="16">
      <c r="A16" s="1" t="n"/>
      <c r="B16" s="31" t="inlineStr">
        <is>
          <t>Price per hour of data</t>
        </is>
      </c>
      <c r="C16" s="3" t="inlineStr">
        <is>
          <t>USD / accepted hr</t>
        </is>
      </c>
      <c r="D16" s="42" t="n">
        <v>8</v>
      </c>
      <c r="E16" s="42" t="n">
        <v>9</v>
      </c>
      <c r="F16" s="42" t="n">
        <v>10</v>
      </c>
      <c r="G16" s="43">
        <f>INDEX(D16:F16,MATCH($D$4,$D$9:$F$9,0))*FX</f>
        <v/>
      </c>
      <c r="H16" s="3" t="inlineStr">
        <is>
          <t>Paid only on accepted hours.</t>
        </is>
      </c>
    </row>
    <row r="17">
      <c r="A17" s="1" t="n"/>
      <c r="B17" s="31" t="inlineStr">
        <is>
          <t>Customer payment terms</t>
        </is>
      </c>
      <c r="C17" s="3" t="inlineStr">
        <is>
          <t>days after delivery</t>
        </is>
      </c>
      <c r="D17" s="36" t="n">
        <v>30</v>
      </c>
      <c r="E17" s="36" t="n">
        <v>15</v>
      </c>
      <c r="F17" s="36" t="n">
        <v>15</v>
      </c>
      <c r="G17" s="37">
        <f>INDEX(D17:F17,MATCH($D$4,$D$9:$F$9,0))</f>
        <v/>
      </c>
      <c r="H17" s="3" t="inlineStr">
        <is>
          <t>How long after delivery the buyer pays. Affects cash timing, payback and peak cash, not ROI.</t>
        </is>
      </c>
    </row>
    <row r="18">
      <c r="A18" s="1" t="n"/>
      <c r="B18" s="31" t="inlineStr">
        <is>
          <t>Cost of collection</t>
        </is>
      </c>
      <c r="C18" s="3" t="inlineStr">
        <is>
          <t>USD / recorded hr</t>
        </is>
      </c>
      <c r="D18" s="42" t="n">
        <v>3.5</v>
      </c>
      <c r="E18" s="42" t="n">
        <v>3</v>
      </c>
      <c r="F18" s="42" t="n">
        <v>2.5</v>
      </c>
      <c r="G18" s="43">
        <f>INDEX(D18:F18,MATCH($D$4,$D$9:$F$9,0))*FX</f>
        <v/>
      </c>
      <c r="H18" s="3" t="inlineStr">
        <is>
          <t>All-in cost per recorded hour, including overheads. Paid on every recorded hour, same week.</t>
        </is>
      </c>
    </row>
    <row r="19">
      <c r="A19" s="1" t="n"/>
      <c r="B19" s="31" t="inlineStr">
        <is>
          <t>Time horizon</t>
        </is>
      </c>
      <c r="C19" s="3" t="inlineStr">
        <is>
          <t>months (1-60)</t>
        </is>
      </c>
      <c r="D19" s="36" t="n">
        <v>6</v>
      </c>
      <c r="E19" s="36" t="n">
        <v>6</v>
      </c>
      <c r="F19" s="36" t="n">
        <v>6</v>
      </c>
      <c r="G19" s="37">
        <f>INDEX(D19:F19,MATCH($D$4,$D$9:$F$9,0))</f>
        <v/>
      </c>
      <c r="H19" s="3" t="inlineStr">
        <is>
          <t>Period over which ROI is measured.</t>
        </is>
      </c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</row>
    <row r="22">
      <c r="A22" s="1" t="n"/>
      <c r="B22" s="4" t="inlineStr">
        <is>
          <t>Derived figures (active scenario)</t>
        </is>
      </c>
      <c r="C22" s="1" t="n"/>
      <c r="D22" s="1" t="n"/>
      <c r="E22" s="1" t="n"/>
      <c r="F22" s="1" t="n"/>
      <c r="G22" s="1" t="n"/>
      <c r="H22" s="1" t="n"/>
    </row>
    <row r="23">
      <c r="A23" s="1" t="n"/>
      <c r="B23" s="1" t="inlineStr">
        <is>
          <t>Investment (initial fleet)</t>
        </is>
      </c>
      <c r="C23" s="3" t="inlineStr">
        <is>
          <t>currency</t>
        </is>
      </c>
      <c r="D23" s="1" t="n"/>
      <c r="E23" s="1" t="n"/>
      <c r="F23" s="1" t="n"/>
      <c r="G23" s="7">
        <f>Devices*DevPrice</f>
        <v/>
      </c>
      <c r="H23" s="1" t="n"/>
    </row>
    <row r="24">
      <c r="A24" s="1" t="n"/>
      <c r="B24" s="1" t="inlineStr">
        <is>
          <t>Active days per month</t>
        </is>
      </c>
      <c r="C24" s="3" t="inlineStr">
        <is>
          <t>days</t>
        </is>
      </c>
      <c r="D24" s="1" t="n"/>
      <c r="E24" s="1" t="n"/>
      <c r="F24" s="1" t="n"/>
      <c r="G24" s="44">
        <f>DaysWk*4</f>
        <v/>
      </c>
      <c r="H24" s="1" t="n"/>
    </row>
    <row r="25">
      <c r="A25" s="1" t="n"/>
      <c r="B25" s="1" t="inlineStr">
        <is>
          <t>Sold hours per device per day</t>
        </is>
      </c>
      <c r="C25" s="3" t="inlineStr">
        <is>
          <t>hours</t>
        </is>
      </c>
      <c r="D25" s="1" t="n"/>
      <c r="E25" s="1" t="n"/>
      <c r="F25" s="1" t="n"/>
      <c r="G25" s="44">
        <f>HPD*Sellable</f>
        <v/>
      </c>
      <c r="H25" s="1" t="n"/>
    </row>
    <row r="26">
      <c r="A26" s="1" t="n"/>
      <c r="B26" s="1" t="inlineStr">
        <is>
          <t>Recorded hours per week</t>
        </is>
      </c>
      <c r="C26" s="3" t="inlineStr">
        <is>
          <t>hours</t>
        </is>
      </c>
      <c r="D26" s="1" t="n"/>
      <c r="E26" s="1" t="n"/>
      <c r="F26" s="1" t="n"/>
      <c r="G26" s="7">
        <f>Devices*HPD*DaysWk</f>
        <v/>
      </c>
      <c r="H26" s="1" t="n"/>
    </row>
    <row r="27">
      <c r="A27" s="1" t="n"/>
      <c r="B27" s="1" t="inlineStr">
        <is>
          <t>Accepted hours per week</t>
        </is>
      </c>
      <c r="C27" s="3" t="inlineStr">
        <is>
          <t>hours</t>
        </is>
      </c>
      <c r="D27" s="1" t="n"/>
      <c r="E27" s="1" t="n"/>
      <c r="F27" s="1" t="n"/>
      <c r="G27" s="7">
        <f>RecordedWk*Sellable</f>
        <v/>
      </c>
      <c r="H27" s="1" t="n"/>
    </row>
    <row r="28">
      <c r="A28" s="1" t="n"/>
      <c r="B28" s="1" t="inlineStr">
        <is>
          <t>Revenue earned per week</t>
        </is>
      </c>
      <c r="C28" s="3" t="inlineStr">
        <is>
          <t>currency</t>
        </is>
      </c>
      <c r="D28" s="1" t="n"/>
      <c r="E28" s="1" t="n"/>
      <c r="F28" s="1" t="n"/>
      <c r="G28" s="7">
        <f>AcceptedWk*PricePerHr</f>
        <v/>
      </c>
      <c r="H28" s="1" t="n"/>
    </row>
    <row r="29">
      <c r="A29" s="1" t="n"/>
      <c r="B29" s="1" t="inlineStr">
        <is>
          <t>Collection cost per week</t>
        </is>
      </c>
      <c r="C29" s="3" t="inlineStr">
        <is>
          <t>currency</t>
        </is>
      </c>
      <c r="D29" s="1" t="n"/>
      <c r="E29" s="1" t="n"/>
      <c r="F29" s="1" t="n"/>
      <c r="G29" s="7">
        <f>RecordedWk*CostPerHr</f>
        <v/>
      </c>
      <c r="H29" s="1" t="n"/>
    </row>
    <row r="30">
      <c r="A30" s="1" t="n"/>
      <c r="B30" s="1" t="inlineStr">
        <is>
          <t>Recorded hours per month</t>
        </is>
      </c>
      <c r="C30" s="3" t="inlineStr">
        <is>
          <t>hours</t>
        </is>
      </c>
      <c r="D30" s="1" t="n"/>
      <c r="E30" s="1" t="n"/>
      <c r="F30" s="1" t="n"/>
      <c r="G30" s="7">
        <f>RecordedWk*4</f>
        <v/>
      </c>
      <c r="H30" s="1" t="n"/>
    </row>
    <row r="31">
      <c r="A31" s="1" t="n"/>
      <c r="B31" s="1" t="inlineStr">
        <is>
          <t>Accepted (sold) hours per month</t>
        </is>
      </c>
      <c r="C31" s="3" t="inlineStr">
        <is>
          <t>hours</t>
        </is>
      </c>
      <c r="D31" s="1" t="n"/>
      <c r="E31" s="1" t="n"/>
      <c r="F31" s="1" t="n"/>
      <c r="G31" s="7">
        <f>AcceptedWk*4</f>
        <v/>
      </c>
      <c r="H31" s="1" t="n"/>
    </row>
    <row r="32">
      <c r="A32" s="1" t="n"/>
      <c r="B32" s="1" t="inlineStr">
        <is>
          <t>Revenue earned per month</t>
        </is>
      </c>
      <c r="C32" s="3" t="inlineStr">
        <is>
          <t>currency</t>
        </is>
      </c>
      <c r="D32" s="1" t="n"/>
      <c r="E32" s="1" t="n"/>
      <c r="F32" s="1" t="n"/>
      <c r="G32" s="7">
        <f>RevenueWk*4</f>
        <v/>
      </c>
      <c r="H32" s="1" t="n"/>
    </row>
    <row r="33">
      <c r="A33" s="1" t="n"/>
      <c r="B33" s="1" t="inlineStr">
        <is>
          <t>Collection cost per month</t>
        </is>
      </c>
      <c r="C33" s="3" t="inlineStr">
        <is>
          <t>currency</t>
        </is>
      </c>
      <c r="D33" s="1" t="n"/>
      <c r="E33" s="1" t="n"/>
      <c r="F33" s="1" t="n"/>
      <c r="G33" s="7">
        <f>CollectionWk*4</f>
        <v/>
      </c>
      <c r="H33" s="1" t="n"/>
    </row>
    <row r="34">
      <c r="A34" s="1" t="n"/>
      <c r="B34" s="1" t="inlineStr">
        <is>
          <t>Operating profit per month</t>
        </is>
      </c>
      <c r="C34" s="3" t="inlineStr">
        <is>
          <t>currency</t>
        </is>
      </c>
      <c r="D34" s="1" t="n"/>
      <c r="E34" s="1" t="n"/>
      <c r="F34" s="1" t="n"/>
      <c r="G34" s="7">
        <f>Revenue-Collection</f>
        <v/>
      </c>
      <c r="H34" s="1" t="n"/>
    </row>
    <row r="35">
      <c r="A35" s="1" t="n"/>
      <c r="B35" s="1" t="inlineStr">
        <is>
          <t>Fleet purchases within horizon</t>
        </is>
      </c>
      <c r="C35" s="3" t="inlineStr">
        <is>
          <t>count</t>
        </is>
      </c>
      <c r="D35" s="1" t="n"/>
      <c r="E35" s="1" t="n"/>
      <c r="F35" s="1" t="n"/>
      <c r="G35" s="45">
        <f>1+INT((Horizon-1)/MAX(1,Life))</f>
        <v/>
      </c>
      <c r="H35" s="1" t="n"/>
    </row>
    <row r="36">
      <c r="A36" s="1" t="n"/>
      <c r="B36" s="1" t="inlineStr">
        <is>
          <t>All-in cost per accepted hour</t>
        </is>
      </c>
      <c r="C36" s="3" t="inlineStr">
        <is>
          <t>currency / hr</t>
        </is>
      </c>
      <c r="D36" s="1" t="n"/>
      <c r="E36" s="1" t="n"/>
      <c r="F36" s="1" t="n"/>
      <c r="G36" s="11">
        <f>IF(Accepted&gt;0,(Collection+Invest/MAX(1,Life))/Accepted,0)</f>
        <v/>
      </c>
      <c r="H36" s="1" t="n"/>
    </row>
  </sheetData>
  <dataValidations count="7">
    <dataValidation sqref="D4" showDropDown="0" showInputMessage="0" showErrorMessage="0" allowBlank="0" type="list">
      <formula1>"Conservative,Base,Optimistic"</formula1>
    </dataValidation>
    <dataValidation sqref="D5" showDropDown="0" showInputMessage="0" showErrorMessage="0" allowBlank="0" type="list">
      <formula1>"USD,INR"</formula1>
    </dataValidation>
    <dataValidation sqref="D7" showDropDown="0" showInputMessage="0" showErrorMessage="0" allowBlank="0" type="list">
      <formula1>"Yes,No"</formula1>
    </dataValidation>
    <dataValidation sqref="D14:F14" showDropDown="0" showInputMessage="0" showErrorMessage="0" allowBlank="0" type="decimal" operator="between">
      <formula1>0</formula1>
      <formula2>1</formula2>
    </dataValidation>
    <dataValidation sqref="D19:F19" showDropDown="0" showInputMessage="0" showErrorMessage="0" allowBlank="0" type="whole" operator="between">
      <formula1>1</formula1>
      <formula2>60</formula2>
    </dataValidation>
    <dataValidation sqref="D15:F15" showDropDown="0" showInputMessage="0" showErrorMessage="0" allowBlank="0" type="decimal" operator="between">
      <formula1>0</formula1>
      <formula2>7</formula2>
    </dataValidation>
    <dataValidation sqref="D11:F11" showDropDown="0" showInputMessage="0" showErrorMessage="0" allowBlank="0" type="whole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4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7" customWidth="1" min="2" max="2"/>
    <col width="7" customWidth="1" min="3" max="3"/>
    <col width="9" customWidth="1" min="4" max="4"/>
    <col width="8" customWidth="1" min="5" max="5"/>
    <col width="11" customWidth="1" min="6" max="6"/>
    <col width="13" customWidth="1" min="7" max="7"/>
    <col width="13" customWidth="1" min="8" max="8"/>
    <col width="13" customWidth="1" min="9" max="9"/>
    <col width="13" customWidth="1" min="10" max="10"/>
    <col width="15" customWidth="1" min="11" max="11"/>
    <col width="13" customWidth="1" min="12" max="12"/>
  </cols>
  <sheetData>
    <row r="1">
      <c r="A1" s="1" t="n"/>
      <c r="B1" s="2" t="inlineStr">
        <is>
          <t>Weekly Profit (active scenario)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" t="n"/>
      <c r="B2" s="3" t="inlineStr">
        <is>
          <t>One row per week; a month is 4 weeks. Revenue is counted when the data is accepted. Weeks beyond the horizon are shaded grey and show operations continuing.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32" customHeight="1">
      <c r="A4" s="1" t="n"/>
      <c r="B4" s="46" t="inlineStr">
        <is>
          <t>Week</t>
        </is>
      </c>
      <c r="C4" s="46" t="inlineStr">
        <is>
          <t>Month</t>
        </is>
      </c>
      <c r="D4" s="46" t="inlineStr">
        <is>
          <t>In horizon</t>
        </is>
      </c>
      <c r="E4" s="46" t="inlineStr">
        <is>
          <t>Fleet bought</t>
        </is>
      </c>
      <c r="F4" s="46" t="inlineStr">
        <is>
          <t>Accepted hrs</t>
        </is>
      </c>
      <c r="G4" s="46" t="inlineStr">
        <is>
          <t>Revenue</t>
        </is>
      </c>
      <c r="H4" s="46" t="inlineStr">
        <is>
          <t>Collection cost</t>
        </is>
      </c>
      <c r="I4" s="46" t="inlineStr">
        <is>
          <t>Device purchases</t>
        </is>
      </c>
      <c r="J4" s="46" t="inlineStr">
        <is>
          <t>Net profit</t>
        </is>
      </c>
      <c r="K4" s="46" t="inlineStr">
        <is>
          <t>Cumulative profit</t>
        </is>
      </c>
      <c r="L4" s="46" t="inlineStr">
        <is>
          <t>Payback point (months)</t>
        </is>
      </c>
    </row>
    <row r="5">
      <c r="A5" s="1" t="n"/>
      <c r="B5" s="45" t="n">
        <v>0</v>
      </c>
      <c r="C5" s="45" t="n">
        <v>0</v>
      </c>
      <c r="D5" s="45" t="n">
        <v>1</v>
      </c>
      <c r="E5" s="45" t="n">
        <v>1</v>
      </c>
      <c r="F5" s="7" t="n">
        <v>0</v>
      </c>
      <c r="G5" s="7" t="n">
        <v>0</v>
      </c>
      <c r="H5" s="7" t="n">
        <v>0</v>
      </c>
      <c r="I5" s="7">
        <f>-Invest*E5</f>
        <v/>
      </c>
      <c r="J5" s="7">
        <f>I5</f>
        <v/>
      </c>
      <c r="K5" s="7">
        <f>J5</f>
        <v/>
      </c>
      <c r="L5" s="47">
        <f>""</f>
        <v/>
      </c>
    </row>
    <row r="6">
      <c r="A6" s="1" t="n"/>
      <c r="B6" s="45">
        <f>B5+1</f>
        <v/>
      </c>
      <c r="C6" s="45">
        <f>ROUNDUP(B6/4,0)</f>
        <v/>
      </c>
      <c r="D6" s="45">
        <f>IF(B6&lt;=Horizon*4,1,0)</f>
        <v/>
      </c>
      <c r="E6" s="45">
        <f>IF(AND(B6&gt;1,MOD(B6-1,MAX(1,Life)*4)=0),1,0)</f>
        <v/>
      </c>
      <c r="F6" s="7">
        <f>AcceptedWk</f>
        <v/>
      </c>
      <c r="G6" s="7">
        <f>RevenueWk</f>
        <v/>
      </c>
      <c r="H6" s="7">
        <f>-CollectionWk</f>
        <v/>
      </c>
      <c r="I6" s="7">
        <f>-Invest*E6</f>
        <v/>
      </c>
      <c r="J6" s="7">
        <f>G6+H6+I6</f>
        <v/>
      </c>
      <c r="K6" s="7">
        <f>K5+J6</f>
        <v/>
      </c>
      <c r="L6" s="47">
        <f>IF(AND(D6=1,K5&lt;0,K6&gt;=0,J6&gt;0),(B5+(-K5/J6))/4,"")</f>
        <v/>
      </c>
    </row>
    <row r="7">
      <c r="A7" s="1" t="n"/>
      <c r="B7" s="45">
        <f>B6+1</f>
        <v/>
      </c>
      <c r="C7" s="45">
        <f>ROUNDUP(B7/4,0)</f>
        <v/>
      </c>
      <c r="D7" s="45">
        <f>IF(B7&lt;=Horizon*4,1,0)</f>
        <v/>
      </c>
      <c r="E7" s="45">
        <f>IF(AND(B7&gt;1,MOD(B7-1,MAX(1,Life)*4)=0),1,0)</f>
        <v/>
      </c>
      <c r="F7" s="7">
        <f>AcceptedWk</f>
        <v/>
      </c>
      <c r="G7" s="7">
        <f>RevenueWk</f>
        <v/>
      </c>
      <c r="H7" s="7">
        <f>-CollectionWk</f>
        <v/>
      </c>
      <c r="I7" s="7">
        <f>-Invest*E7</f>
        <v/>
      </c>
      <c r="J7" s="7">
        <f>G7+H7+I7</f>
        <v/>
      </c>
      <c r="K7" s="7">
        <f>K6+J7</f>
        <v/>
      </c>
      <c r="L7" s="47">
        <f>IF(AND(D7=1,K6&lt;0,K7&gt;=0,J7&gt;0),(B6+(-K6/J7))/4,"")</f>
        <v/>
      </c>
    </row>
    <row r="8">
      <c r="A8" s="1" t="n"/>
      <c r="B8" s="45">
        <f>B7+1</f>
        <v/>
      </c>
      <c r="C8" s="45">
        <f>ROUNDUP(B8/4,0)</f>
        <v/>
      </c>
      <c r="D8" s="45">
        <f>IF(B8&lt;=Horizon*4,1,0)</f>
        <v/>
      </c>
      <c r="E8" s="45">
        <f>IF(AND(B8&gt;1,MOD(B8-1,MAX(1,Life)*4)=0),1,0)</f>
        <v/>
      </c>
      <c r="F8" s="7">
        <f>AcceptedWk</f>
        <v/>
      </c>
      <c r="G8" s="7">
        <f>RevenueWk</f>
        <v/>
      </c>
      <c r="H8" s="7">
        <f>-CollectionWk</f>
        <v/>
      </c>
      <c r="I8" s="7">
        <f>-Invest*E8</f>
        <v/>
      </c>
      <c r="J8" s="7">
        <f>G8+H8+I8</f>
        <v/>
      </c>
      <c r="K8" s="7">
        <f>K7+J8</f>
        <v/>
      </c>
      <c r="L8" s="47">
        <f>IF(AND(D8=1,K7&lt;0,K8&gt;=0,J8&gt;0),(B7+(-K7/J8))/4,"")</f>
        <v/>
      </c>
    </row>
    <row r="9">
      <c r="A9" s="1" t="n"/>
      <c r="B9" s="45">
        <f>B8+1</f>
        <v/>
      </c>
      <c r="C9" s="45">
        <f>ROUNDUP(B9/4,0)</f>
        <v/>
      </c>
      <c r="D9" s="45">
        <f>IF(B9&lt;=Horizon*4,1,0)</f>
        <v/>
      </c>
      <c r="E9" s="45">
        <f>IF(AND(B9&gt;1,MOD(B9-1,MAX(1,Life)*4)=0),1,0)</f>
        <v/>
      </c>
      <c r="F9" s="7">
        <f>AcceptedWk</f>
        <v/>
      </c>
      <c r="G9" s="7">
        <f>RevenueWk</f>
        <v/>
      </c>
      <c r="H9" s="7">
        <f>-CollectionWk</f>
        <v/>
      </c>
      <c r="I9" s="7">
        <f>-Invest*E9</f>
        <v/>
      </c>
      <c r="J9" s="7">
        <f>G9+H9+I9</f>
        <v/>
      </c>
      <c r="K9" s="7">
        <f>K8+J9</f>
        <v/>
      </c>
      <c r="L9" s="47">
        <f>IF(AND(D9=1,K8&lt;0,K9&gt;=0,J9&gt;0),(B8+(-K8/J9))/4,"")</f>
        <v/>
      </c>
    </row>
    <row r="10">
      <c r="A10" s="1" t="n"/>
      <c r="B10" s="45">
        <f>B9+1</f>
        <v/>
      </c>
      <c r="C10" s="45">
        <f>ROUNDUP(B10/4,0)</f>
        <v/>
      </c>
      <c r="D10" s="45">
        <f>IF(B10&lt;=Horizon*4,1,0)</f>
        <v/>
      </c>
      <c r="E10" s="45">
        <f>IF(AND(B10&gt;1,MOD(B10-1,MAX(1,Life)*4)=0),1,0)</f>
        <v/>
      </c>
      <c r="F10" s="7">
        <f>AcceptedWk</f>
        <v/>
      </c>
      <c r="G10" s="7">
        <f>RevenueWk</f>
        <v/>
      </c>
      <c r="H10" s="7">
        <f>-CollectionWk</f>
        <v/>
      </c>
      <c r="I10" s="7">
        <f>-Invest*E10</f>
        <v/>
      </c>
      <c r="J10" s="7">
        <f>G10+H10+I10</f>
        <v/>
      </c>
      <c r="K10" s="7">
        <f>K9+J10</f>
        <v/>
      </c>
      <c r="L10" s="47">
        <f>IF(AND(D10=1,K9&lt;0,K10&gt;=0,J10&gt;0),(B9+(-K9/J10))/4,"")</f>
        <v/>
      </c>
    </row>
    <row r="11">
      <c r="A11" s="1" t="n"/>
      <c r="B11" s="45">
        <f>B10+1</f>
        <v/>
      </c>
      <c r="C11" s="45">
        <f>ROUNDUP(B11/4,0)</f>
        <v/>
      </c>
      <c r="D11" s="45">
        <f>IF(B11&lt;=Horizon*4,1,0)</f>
        <v/>
      </c>
      <c r="E11" s="45">
        <f>IF(AND(B11&gt;1,MOD(B11-1,MAX(1,Life)*4)=0),1,0)</f>
        <v/>
      </c>
      <c r="F11" s="7">
        <f>AcceptedWk</f>
        <v/>
      </c>
      <c r="G11" s="7">
        <f>RevenueWk</f>
        <v/>
      </c>
      <c r="H11" s="7">
        <f>-CollectionWk</f>
        <v/>
      </c>
      <c r="I11" s="7">
        <f>-Invest*E11</f>
        <v/>
      </c>
      <c r="J11" s="7">
        <f>G11+H11+I11</f>
        <v/>
      </c>
      <c r="K11" s="7">
        <f>K10+J11</f>
        <v/>
      </c>
      <c r="L11" s="47">
        <f>IF(AND(D11=1,K10&lt;0,K11&gt;=0,J11&gt;0),(B10+(-K10/J11))/4,"")</f>
        <v/>
      </c>
    </row>
    <row r="12">
      <c r="A12" s="1" t="n"/>
      <c r="B12" s="45">
        <f>B11+1</f>
        <v/>
      </c>
      <c r="C12" s="45">
        <f>ROUNDUP(B12/4,0)</f>
        <v/>
      </c>
      <c r="D12" s="45">
        <f>IF(B12&lt;=Horizon*4,1,0)</f>
        <v/>
      </c>
      <c r="E12" s="45">
        <f>IF(AND(B12&gt;1,MOD(B12-1,MAX(1,Life)*4)=0),1,0)</f>
        <v/>
      </c>
      <c r="F12" s="7">
        <f>AcceptedWk</f>
        <v/>
      </c>
      <c r="G12" s="7">
        <f>RevenueWk</f>
        <v/>
      </c>
      <c r="H12" s="7">
        <f>-CollectionWk</f>
        <v/>
      </c>
      <c r="I12" s="7">
        <f>-Invest*E12</f>
        <v/>
      </c>
      <c r="J12" s="7">
        <f>G12+H12+I12</f>
        <v/>
      </c>
      <c r="K12" s="7">
        <f>K11+J12</f>
        <v/>
      </c>
      <c r="L12" s="47">
        <f>IF(AND(D12=1,K11&lt;0,K12&gt;=0,J12&gt;0),(B11+(-K11/J12))/4,"")</f>
        <v/>
      </c>
    </row>
    <row r="13">
      <c r="A13" s="1" t="n"/>
      <c r="B13" s="45">
        <f>B12+1</f>
        <v/>
      </c>
      <c r="C13" s="45">
        <f>ROUNDUP(B13/4,0)</f>
        <v/>
      </c>
      <c r="D13" s="45">
        <f>IF(B13&lt;=Horizon*4,1,0)</f>
        <v/>
      </c>
      <c r="E13" s="45">
        <f>IF(AND(B13&gt;1,MOD(B13-1,MAX(1,Life)*4)=0),1,0)</f>
        <v/>
      </c>
      <c r="F13" s="7">
        <f>AcceptedWk</f>
        <v/>
      </c>
      <c r="G13" s="7">
        <f>RevenueWk</f>
        <v/>
      </c>
      <c r="H13" s="7">
        <f>-CollectionWk</f>
        <v/>
      </c>
      <c r="I13" s="7">
        <f>-Invest*E13</f>
        <v/>
      </c>
      <c r="J13" s="7">
        <f>G13+H13+I13</f>
        <v/>
      </c>
      <c r="K13" s="7">
        <f>K12+J13</f>
        <v/>
      </c>
      <c r="L13" s="47">
        <f>IF(AND(D13=1,K12&lt;0,K13&gt;=0,J13&gt;0),(B12+(-K12/J13))/4,"")</f>
        <v/>
      </c>
    </row>
    <row r="14">
      <c r="A14" s="1" t="n"/>
      <c r="B14" s="45">
        <f>B13+1</f>
        <v/>
      </c>
      <c r="C14" s="45">
        <f>ROUNDUP(B14/4,0)</f>
        <v/>
      </c>
      <c r="D14" s="45">
        <f>IF(B14&lt;=Horizon*4,1,0)</f>
        <v/>
      </c>
      <c r="E14" s="45">
        <f>IF(AND(B14&gt;1,MOD(B14-1,MAX(1,Life)*4)=0),1,0)</f>
        <v/>
      </c>
      <c r="F14" s="7">
        <f>AcceptedWk</f>
        <v/>
      </c>
      <c r="G14" s="7">
        <f>RevenueWk</f>
        <v/>
      </c>
      <c r="H14" s="7">
        <f>-CollectionWk</f>
        <v/>
      </c>
      <c r="I14" s="7">
        <f>-Invest*E14</f>
        <v/>
      </c>
      <c r="J14" s="7">
        <f>G14+H14+I14</f>
        <v/>
      </c>
      <c r="K14" s="7">
        <f>K13+J14</f>
        <v/>
      </c>
      <c r="L14" s="47">
        <f>IF(AND(D14=1,K13&lt;0,K14&gt;=0,J14&gt;0),(B13+(-K13/J14))/4,"")</f>
        <v/>
      </c>
    </row>
    <row r="15">
      <c r="A15" s="1" t="n"/>
      <c r="B15" s="45">
        <f>B14+1</f>
        <v/>
      </c>
      <c r="C15" s="45">
        <f>ROUNDUP(B15/4,0)</f>
        <v/>
      </c>
      <c r="D15" s="45">
        <f>IF(B15&lt;=Horizon*4,1,0)</f>
        <v/>
      </c>
      <c r="E15" s="45">
        <f>IF(AND(B15&gt;1,MOD(B15-1,MAX(1,Life)*4)=0),1,0)</f>
        <v/>
      </c>
      <c r="F15" s="7">
        <f>AcceptedWk</f>
        <v/>
      </c>
      <c r="G15" s="7">
        <f>RevenueWk</f>
        <v/>
      </c>
      <c r="H15" s="7">
        <f>-CollectionWk</f>
        <v/>
      </c>
      <c r="I15" s="7">
        <f>-Invest*E15</f>
        <v/>
      </c>
      <c r="J15" s="7">
        <f>G15+H15+I15</f>
        <v/>
      </c>
      <c r="K15" s="7">
        <f>K14+J15</f>
        <v/>
      </c>
      <c r="L15" s="47">
        <f>IF(AND(D15=1,K14&lt;0,K15&gt;=0,J15&gt;0),(B14+(-K14/J15))/4,"")</f>
        <v/>
      </c>
    </row>
    <row r="16">
      <c r="A16" s="1" t="n"/>
      <c r="B16" s="45">
        <f>B15+1</f>
        <v/>
      </c>
      <c r="C16" s="45">
        <f>ROUNDUP(B16/4,0)</f>
        <v/>
      </c>
      <c r="D16" s="45">
        <f>IF(B16&lt;=Horizon*4,1,0)</f>
        <v/>
      </c>
      <c r="E16" s="45">
        <f>IF(AND(B16&gt;1,MOD(B16-1,MAX(1,Life)*4)=0),1,0)</f>
        <v/>
      </c>
      <c r="F16" s="7">
        <f>AcceptedWk</f>
        <v/>
      </c>
      <c r="G16" s="7">
        <f>RevenueWk</f>
        <v/>
      </c>
      <c r="H16" s="7">
        <f>-CollectionWk</f>
        <v/>
      </c>
      <c r="I16" s="7">
        <f>-Invest*E16</f>
        <v/>
      </c>
      <c r="J16" s="7">
        <f>G16+H16+I16</f>
        <v/>
      </c>
      <c r="K16" s="7">
        <f>K15+J16</f>
        <v/>
      </c>
      <c r="L16" s="47">
        <f>IF(AND(D16=1,K15&lt;0,K16&gt;=0,J16&gt;0),(B15+(-K15/J16))/4,"")</f>
        <v/>
      </c>
    </row>
    <row r="17">
      <c r="A17" s="1" t="n"/>
      <c r="B17" s="45">
        <f>B16+1</f>
        <v/>
      </c>
      <c r="C17" s="45">
        <f>ROUNDUP(B17/4,0)</f>
        <v/>
      </c>
      <c r="D17" s="45">
        <f>IF(B17&lt;=Horizon*4,1,0)</f>
        <v/>
      </c>
      <c r="E17" s="45">
        <f>IF(AND(B17&gt;1,MOD(B17-1,MAX(1,Life)*4)=0),1,0)</f>
        <v/>
      </c>
      <c r="F17" s="7">
        <f>AcceptedWk</f>
        <v/>
      </c>
      <c r="G17" s="7">
        <f>RevenueWk</f>
        <v/>
      </c>
      <c r="H17" s="7">
        <f>-CollectionWk</f>
        <v/>
      </c>
      <c r="I17" s="7">
        <f>-Invest*E17</f>
        <v/>
      </c>
      <c r="J17" s="7">
        <f>G17+H17+I17</f>
        <v/>
      </c>
      <c r="K17" s="7">
        <f>K16+J17</f>
        <v/>
      </c>
      <c r="L17" s="47">
        <f>IF(AND(D17=1,K16&lt;0,K17&gt;=0,J17&gt;0),(B16+(-K16/J17))/4,"")</f>
        <v/>
      </c>
    </row>
    <row r="18">
      <c r="A18" s="1" t="n"/>
      <c r="B18" s="45">
        <f>B17+1</f>
        <v/>
      </c>
      <c r="C18" s="45">
        <f>ROUNDUP(B18/4,0)</f>
        <v/>
      </c>
      <c r="D18" s="45">
        <f>IF(B18&lt;=Horizon*4,1,0)</f>
        <v/>
      </c>
      <c r="E18" s="45">
        <f>IF(AND(B18&gt;1,MOD(B18-1,MAX(1,Life)*4)=0),1,0)</f>
        <v/>
      </c>
      <c r="F18" s="7">
        <f>AcceptedWk</f>
        <v/>
      </c>
      <c r="G18" s="7">
        <f>RevenueWk</f>
        <v/>
      </c>
      <c r="H18" s="7">
        <f>-CollectionWk</f>
        <v/>
      </c>
      <c r="I18" s="7">
        <f>-Invest*E18</f>
        <v/>
      </c>
      <c r="J18" s="7">
        <f>G18+H18+I18</f>
        <v/>
      </c>
      <c r="K18" s="7">
        <f>K17+J18</f>
        <v/>
      </c>
      <c r="L18" s="47">
        <f>IF(AND(D18=1,K17&lt;0,K18&gt;=0,J18&gt;0),(B17+(-K17/J18))/4,"")</f>
        <v/>
      </c>
    </row>
    <row r="19">
      <c r="A19" s="1" t="n"/>
      <c r="B19" s="45">
        <f>B18+1</f>
        <v/>
      </c>
      <c r="C19" s="45">
        <f>ROUNDUP(B19/4,0)</f>
        <v/>
      </c>
      <c r="D19" s="45">
        <f>IF(B19&lt;=Horizon*4,1,0)</f>
        <v/>
      </c>
      <c r="E19" s="45">
        <f>IF(AND(B19&gt;1,MOD(B19-1,MAX(1,Life)*4)=0),1,0)</f>
        <v/>
      </c>
      <c r="F19" s="7">
        <f>AcceptedWk</f>
        <v/>
      </c>
      <c r="G19" s="7">
        <f>RevenueWk</f>
        <v/>
      </c>
      <c r="H19" s="7">
        <f>-CollectionWk</f>
        <v/>
      </c>
      <c r="I19" s="7">
        <f>-Invest*E19</f>
        <v/>
      </c>
      <c r="J19" s="7">
        <f>G19+H19+I19</f>
        <v/>
      </c>
      <c r="K19" s="7">
        <f>K18+J19</f>
        <v/>
      </c>
      <c r="L19" s="47">
        <f>IF(AND(D19=1,K18&lt;0,K19&gt;=0,J19&gt;0),(B18+(-K18/J19))/4,"")</f>
        <v/>
      </c>
    </row>
    <row r="20">
      <c r="A20" s="1" t="n"/>
      <c r="B20" s="45">
        <f>B19+1</f>
        <v/>
      </c>
      <c r="C20" s="45">
        <f>ROUNDUP(B20/4,0)</f>
        <v/>
      </c>
      <c r="D20" s="45">
        <f>IF(B20&lt;=Horizon*4,1,0)</f>
        <v/>
      </c>
      <c r="E20" s="45">
        <f>IF(AND(B20&gt;1,MOD(B20-1,MAX(1,Life)*4)=0),1,0)</f>
        <v/>
      </c>
      <c r="F20" s="7">
        <f>AcceptedWk</f>
        <v/>
      </c>
      <c r="G20" s="7">
        <f>RevenueWk</f>
        <v/>
      </c>
      <c r="H20" s="7">
        <f>-CollectionWk</f>
        <v/>
      </c>
      <c r="I20" s="7">
        <f>-Invest*E20</f>
        <v/>
      </c>
      <c r="J20" s="7">
        <f>G20+H20+I20</f>
        <v/>
      </c>
      <c r="K20" s="7">
        <f>K19+J20</f>
        <v/>
      </c>
      <c r="L20" s="47">
        <f>IF(AND(D20=1,K19&lt;0,K20&gt;=0,J20&gt;0),(B19+(-K19/J20))/4,"")</f>
        <v/>
      </c>
    </row>
    <row r="21">
      <c r="A21" s="1" t="n"/>
      <c r="B21" s="45">
        <f>B20+1</f>
        <v/>
      </c>
      <c r="C21" s="45">
        <f>ROUNDUP(B21/4,0)</f>
        <v/>
      </c>
      <c r="D21" s="45">
        <f>IF(B21&lt;=Horizon*4,1,0)</f>
        <v/>
      </c>
      <c r="E21" s="45">
        <f>IF(AND(B21&gt;1,MOD(B21-1,MAX(1,Life)*4)=0),1,0)</f>
        <v/>
      </c>
      <c r="F21" s="7">
        <f>AcceptedWk</f>
        <v/>
      </c>
      <c r="G21" s="7">
        <f>RevenueWk</f>
        <v/>
      </c>
      <c r="H21" s="7">
        <f>-CollectionWk</f>
        <v/>
      </c>
      <c r="I21" s="7">
        <f>-Invest*E21</f>
        <v/>
      </c>
      <c r="J21" s="7">
        <f>G21+H21+I21</f>
        <v/>
      </c>
      <c r="K21" s="7">
        <f>K20+J21</f>
        <v/>
      </c>
      <c r="L21" s="47">
        <f>IF(AND(D21=1,K20&lt;0,K21&gt;=0,J21&gt;0),(B20+(-K20/J21))/4,"")</f>
        <v/>
      </c>
    </row>
    <row r="22">
      <c r="A22" s="1" t="n"/>
      <c r="B22" s="45">
        <f>B21+1</f>
        <v/>
      </c>
      <c r="C22" s="45">
        <f>ROUNDUP(B22/4,0)</f>
        <v/>
      </c>
      <c r="D22" s="45">
        <f>IF(B22&lt;=Horizon*4,1,0)</f>
        <v/>
      </c>
      <c r="E22" s="45">
        <f>IF(AND(B22&gt;1,MOD(B22-1,MAX(1,Life)*4)=0),1,0)</f>
        <v/>
      </c>
      <c r="F22" s="7">
        <f>AcceptedWk</f>
        <v/>
      </c>
      <c r="G22" s="7">
        <f>RevenueWk</f>
        <v/>
      </c>
      <c r="H22" s="7">
        <f>-CollectionWk</f>
        <v/>
      </c>
      <c r="I22" s="7">
        <f>-Invest*E22</f>
        <v/>
      </c>
      <c r="J22" s="7">
        <f>G22+H22+I22</f>
        <v/>
      </c>
      <c r="K22" s="7">
        <f>K21+J22</f>
        <v/>
      </c>
      <c r="L22" s="47">
        <f>IF(AND(D22=1,K21&lt;0,K22&gt;=0,J22&gt;0),(B21+(-K21/J22))/4,"")</f>
        <v/>
      </c>
    </row>
    <row r="23">
      <c r="A23" s="1" t="n"/>
      <c r="B23" s="45">
        <f>B22+1</f>
        <v/>
      </c>
      <c r="C23" s="45">
        <f>ROUNDUP(B23/4,0)</f>
        <v/>
      </c>
      <c r="D23" s="45">
        <f>IF(B23&lt;=Horizon*4,1,0)</f>
        <v/>
      </c>
      <c r="E23" s="45">
        <f>IF(AND(B23&gt;1,MOD(B23-1,MAX(1,Life)*4)=0),1,0)</f>
        <v/>
      </c>
      <c r="F23" s="7">
        <f>AcceptedWk</f>
        <v/>
      </c>
      <c r="G23" s="7">
        <f>RevenueWk</f>
        <v/>
      </c>
      <c r="H23" s="7">
        <f>-CollectionWk</f>
        <v/>
      </c>
      <c r="I23" s="7">
        <f>-Invest*E23</f>
        <v/>
      </c>
      <c r="J23" s="7">
        <f>G23+H23+I23</f>
        <v/>
      </c>
      <c r="K23" s="7">
        <f>K22+J23</f>
        <v/>
      </c>
      <c r="L23" s="47">
        <f>IF(AND(D23=1,K22&lt;0,K23&gt;=0,J23&gt;0),(B22+(-K22/J23))/4,"")</f>
        <v/>
      </c>
    </row>
    <row r="24">
      <c r="A24" s="1" t="n"/>
      <c r="B24" s="45">
        <f>B23+1</f>
        <v/>
      </c>
      <c r="C24" s="45">
        <f>ROUNDUP(B24/4,0)</f>
        <v/>
      </c>
      <c r="D24" s="45">
        <f>IF(B24&lt;=Horizon*4,1,0)</f>
        <v/>
      </c>
      <c r="E24" s="45">
        <f>IF(AND(B24&gt;1,MOD(B24-1,MAX(1,Life)*4)=0),1,0)</f>
        <v/>
      </c>
      <c r="F24" s="7">
        <f>AcceptedWk</f>
        <v/>
      </c>
      <c r="G24" s="7">
        <f>RevenueWk</f>
        <v/>
      </c>
      <c r="H24" s="7">
        <f>-CollectionWk</f>
        <v/>
      </c>
      <c r="I24" s="7">
        <f>-Invest*E24</f>
        <v/>
      </c>
      <c r="J24" s="7">
        <f>G24+H24+I24</f>
        <v/>
      </c>
      <c r="K24" s="7">
        <f>K23+J24</f>
        <v/>
      </c>
      <c r="L24" s="47">
        <f>IF(AND(D24=1,K23&lt;0,K24&gt;=0,J24&gt;0),(B23+(-K23/J24))/4,"")</f>
        <v/>
      </c>
    </row>
    <row r="25">
      <c r="A25" s="1" t="n"/>
      <c r="B25" s="45">
        <f>B24+1</f>
        <v/>
      </c>
      <c r="C25" s="45">
        <f>ROUNDUP(B25/4,0)</f>
        <v/>
      </c>
      <c r="D25" s="45">
        <f>IF(B25&lt;=Horizon*4,1,0)</f>
        <v/>
      </c>
      <c r="E25" s="45">
        <f>IF(AND(B25&gt;1,MOD(B25-1,MAX(1,Life)*4)=0),1,0)</f>
        <v/>
      </c>
      <c r="F25" s="7">
        <f>AcceptedWk</f>
        <v/>
      </c>
      <c r="G25" s="7">
        <f>RevenueWk</f>
        <v/>
      </c>
      <c r="H25" s="7">
        <f>-CollectionWk</f>
        <v/>
      </c>
      <c r="I25" s="7">
        <f>-Invest*E25</f>
        <v/>
      </c>
      <c r="J25" s="7">
        <f>G25+H25+I25</f>
        <v/>
      </c>
      <c r="K25" s="7">
        <f>K24+J25</f>
        <v/>
      </c>
      <c r="L25" s="47">
        <f>IF(AND(D25=1,K24&lt;0,K25&gt;=0,J25&gt;0),(B24+(-K24/J25))/4,"")</f>
        <v/>
      </c>
    </row>
    <row r="26">
      <c r="A26" s="1" t="n"/>
      <c r="B26" s="45">
        <f>B25+1</f>
        <v/>
      </c>
      <c r="C26" s="45">
        <f>ROUNDUP(B26/4,0)</f>
        <v/>
      </c>
      <c r="D26" s="45">
        <f>IF(B26&lt;=Horizon*4,1,0)</f>
        <v/>
      </c>
      <c r="E26" s="45">
        <f>IF(AND(B26&gt;1,MOD(B26-1,MAX(1,Life)*4)=0),1,0)</f>
        <v/>
      </c>
      <c r="F26" s="7">
        <f>AcceptedWk</f>
        <v/>
      </c>
      <c r="G26" s="7">
        <f>RevenueWk</f>
        <v/>
      </c>
      <c r="H26" s="7">
        <f>-CollectionWk</f>
        <v/>
      </c>
      <c r="I26" s="7">
        <f>-Invest*E26</f>
        <v/>
      </c>
      <c r="J26" s="7">
        <f>G26+H26+I26</f>
        <v/>
      </c>
      <c r="K26" s="7">
        <f>K25+J26</f>
        <v/>
      </c>
      <c r="L26" s="47">
        <f>IF(AND(D26=1,K25&lt;0,K26&gt;=0,J26&gt;0),(B25+(-K25/J26))/4,"")</f>
        <v/>
      </c>
    </row>
    <row r="27">
      <c r="A27" s="1" t="n"/>
      <c r="B27" s="45">
        <f>B26+1</f>
        <v/>
      </c>
      <c r="C27" s="45">
        <f>ROUNDUP(B27/4,0)</f>
        <v/>
      </c>
      <c r="D27" s="45">
        <f>IF(B27&lt;=Horizon*4,1,0)</f>
        <v/>
      </c>
      <c r="E27" s="45">
        <f>IF(AND(B27&gt;1,MOD(B27-1,MAX(1,Life)*4)=0),1,0)</f>
        <v/>
      </c>
      <c r="F27" s="7">
        <f>AcceptedWk</f>
        <v/>
      </c>
      <c r="G27" s="7">
        <f>RevenueWk</f>
        <v/>
      </c>
      <c r="H27" s="7">
        <f>-CollectionWk</f>
        <v/>
      </c>
      <c r="I27" s="7">
        <f>-Invest*E27</f>
        <v/>
      </c>
      <c r="J27" s="7">
        <f>G27+H27+I27</f>
        <v/>
      </c>
      <c r="K27" s="7">
        <f>K26+J27</f>
        <v/>
      </c>
      <c r="L27" s="47">
        <f>IF(AND(D27=1,K26&lt;0,K27&gt;=0,J27&gt;0),(B26+(-K26/J27))/4,"")</f>
        <v/>
      </c>
    </row>
    <row r="28">
      <c r="A28" s="1" t="n"/>
      <c r="B28" s="45">
        <f>B27+1</f>
        <v/>
      </c>
      <c r="C28" s="45">
        <f>ROUNDUP(B28/4,0)</f>
        <v/>
      </c>
      <c r="D28" s="45">
        <f>IF(B28&lt;=Horizon*4,1,0)</f>
        <v/>
      </c>
      <c r="E28" s="45">
        <f>IF(AND(B28&gt;1,MOD(B28-1,MAX(1,Life)*4)=0),1,0)</f>
        <v/>
      </c>
      <c r="F28" s="7">
        <f>AcceptedWk</f>
        <v/>
      </c>
      <c r="G28" s="7">
        <f>RevenueWk</f>
        <v/>
      </c>
      <c r="H28" s="7">
        <f>-CollectionWk</f>
        <v/>
      </c>
      <c r="I28" s="7">
        <f>-Invest*E28</f>
        <v/>
      </c>
      <c r="J28" s="7">
        <f>G28+H28+I28</f>
        <v/>
      </c>
      <c r="K28" s="7">
        <f>K27+J28</f>
        <v/>
      </c>
      <c r="L28" s="47">
        <f>IF(AND(D28=1,K27&lt;0,K28&gt;=0,J28&gt;0),(B27+(-K27/J28))/4,"")</f>
        <v/>
      </c>
    </row>
    <row r="29">
      <c r="A29" s="1" t="n"/>
      <c r="B29" s="45">
        <f>B28+1</f>
        <v/>
      </c>
      <c r="C29" s="45">
        <f>ROUNDUP(B29/4,0)</f>
        <v/>
      </c>
      <c r="D29" s="45">
        <f>IF(B29&lt;=Horizon*4,1,0)</f>
        <v/>
      </c>
      <c r="E29" s="45">
        <f>IF(AND(B29&gt;1,MOD(B29-1,MAX(1,Life)*4)=0),1,0)</f>
        <v/>
      </c>
      <c r="F29" s="7">
        <f>AcceptedWk</f>
        <v/>
      </c>
      <c r="G29" s="7">
        <f>RevenueWk</f>
        <v/>
      </c>
      <c r="H29" s="7">
        <f>-CollectionWk</f>
        <v/>
      </c>
      <c r="I29" s="7">
        <f>-Invest*E29</f>
        <v/>
      </c>
      <c r="J29" s="7">
        <f>G29+H29+I29</f>
        <v/>
      </c>
      <c r="K29" s="7">
        <f>K28+J29</f>
        <v/>
      </c>
      <c r="L29" s="47">
        <f>IF(AND(D29=1,K28&lt;0,K29&gt;=0,J29&gt;0),(B28+(-K28/J29))/4,"")</f>
        <v/>
      </c>
    </row>
    <row r="30">
      <c r="A30" s="1" t="n"/>
      <c r="B30" s="45">
        <f>B29+1</f>
        <v/>
      </c>
      <c r="C30" s="45">
        <f>ROUNDUP(B30/4,0)</f>
        <v/>
      </c>
      <c r="D30" s="45">
        <f>IF(B30&lt;=Horizon*4,1,0)</f>
        <v/>
      </c>
      <c r="E30" s="45">
        <f>IF(AND(B30&gt;1,MOD(B30-1,MAX(1,Life)*4)=0),1,0)</f>
        <v/>
      </c>
      <c r="F30" s="7">
        <f>AcceptedWk</f>
        <v/>
      </c>
      <c r="G30" s="7">
        <f>RevenueWk</f>
        <v/>
      </c>
      <c r="H30" s="7">
        <f>-CollectionWk</f>
        <v/>
      </c>
      <c r="I30" s="7">
        <f>-Invest*E30</f>
        <v/>
      </c>
      <c r="J30" s="7">
        <f>G30+H30+I30</f>
        <v/>
      </c>
      <c r="K30" s="7">
        <f>K29+J30</f>
        <v/>
      </c>
      <c r="L30" s="47">
        <f>IF(AND(D30=1,K29&lt;0,K30&gt;=0,J30&gt;0),(B29+(-K29/J30))/4,"")</f>
        <v/>
      </c>
    </row>
    <row r="31">
      <c r="A31" s="1" t="n"/>
      <c r="B31" s="45">
        <f>B30+1</f>
        <v/>
      </c>
      <c r="C31" s="45">
        <f>ROUNDUP(B31/4,0)</f>
        <v/>
      </c>
      <c r="D31" s="45">
        <f>IF(B31&lt;=Horizon*4,1,0)</f>
        <v/>
      </c>
      <c r="E31" s="45">
        <f>IF(AND(B31&gt;1,MOD(B31-1,MAX(1,Life)*4)=0),1,0)</f>
        <v/>
      </c>
      <c r="F31" s="7">
        <f>AcceptedWk</f>
        <v/>
      </c>
      <c r="G31" s="7">
        <f>RevenueWk</f>
        <v/>
      </c>
      <c r="H31" s="7">
        <f>-CollectionWk</f>
        <v/>
      </c>
      <c r="I31" s="7">
        <f>-Invest*E31</f>
        <v/>
      </c>
      <c r="J31" s="7">
        <f>G31+H31+I31</f>
        <v/>
      </c>
      <c r="K31" s="7">
        <f>K30+J31</f>
        <v/>
      </c>
      <c r="L31" s="47">
        <f>IF(AND(D31=1,K30&lt;0,K31&gt;=0,J31&gt;0),(B30+(-K30/J31))/4,"")</f>
        <v/>
      </c>
    </row>
    <row r="32">
      <c r="A32" s="1" t="n"/>
      <c r="B32" s="45">
        <f>B31+1</f>
        <v/>
      </c>
      <c r="C32" s="45">
        <f>ROUNDUP(B32/4,0)</f>
        <v/>
      </c>
      <c r="D32" s="45">
        <f>IF(B32&lt;=Horizon*4,1,0)</f>
        <v/>
      </c>
      <c r="E32" s="45">
        <f>IF(AND(B32&gt;1,MOD(B32-1,MAX(1,Life)*4)=0),1,0)</f>
        <v/>
      </c>
      <c r="F32" s="7">
        <f>AcceptedWk</f>
        <v/>
      </c>
      <c r="G32" s="7">
        <f>RevenueWk</f>
        <v/>
      </c>
      <c r="H32" s="7">
        <f>-CollectionWk</f>
        <v/>
      </c>
      <c r="I32" s="7">
        <f>-Invest*E32</f>
        <v/>
      </c>
      <c r="J32" s="7">
        <f>G32+H32+I32</f>
        <v/>
      </c>
      <c r="K32" s="7">
        <f>K31+J32</f>
        <v/>
      </c>
      <c r="L32" s="47">
        <f>IF(AND(D32=1,K31&lt;0,K32&gt;=0,J32&gt;0),(B31+(-K31/J32))/4,"")</f>
        <v/>
      </c>
    </row>
    <row r="33">
      <c r="A33" s="1" t="n"/>
      <c r="B33" s="45">
        <f>B32+1</f>
        <v/>
      </c>
      <c r="C33" s="45">
        <f>ROUNDUP(B33/4,0)</f>
        <v/>
      </c>
      <c r="D33" s="45">
        <f>IF(B33&lt;=Horizon*4,1,0)</f>
        <v/>
      </c>
      <c r="E33" s="45">
        <f>IF(AND(B33&gt;1,MOD(B33-1,MAX(1,Life)*4)=0),1,0)</f>
        <v/>
      </c>
      <c r="F33" s="7">
        <f>AcceptedWk</f>
        <v/>
      </c>
      <c r="G33" s="7">
        <f>RevenueWk</f>
        <v/>
      </c>
      <c r="H33" s="7">
        <f>-CollectionWk</f>
        <v/>
      </c>
      <c r="I33" s="7">
        <f>-Invest*E33</f>
        <v/>
      </c>
      <c r="J33" s="7">
        <f>G33+H33+I33</f>
        <v/>
      </c>
      <c r="K33" s="7">
        <f>K32+J33</f>
        <v/>
      </c>
      <c r="L33" s="47">
        <f>IF(AND(D33=1,K32&lt;0,K33&gt;=0,J33&gt;0),(B32+(-K32/J33))/4,"")</f>
        <v/>
      </c>
    </row>
    <row r="34">
      <c r="A34" s="1" t="n"/>
      <c r="B34" s="45">
        <f>B33+1</f>
        <v/>
      </c>
      <c r="C34" s="45">
        <f>ROUNDUP(B34/4,0)</f>
        <v/>
      </c>
      <c r="D34" s="45">
        <f>IF(B34&lt;=Horizon*4,1,0)</f>
        <v/>
      </c>
      <c r="E34" s="45">
        <f>IF(AND(B34&gt;1,MOD(B34-1,MAX(1,Life)*4)=0),1,0)</f>
        <v/>
      </c>
      <c r="F34" s="7">
        <f>AcceptedWk</f>
        <v/>
      </c>
      <c r="G34" s="7">
        <f>RevenueWk</f>
        <v/>
      </c>
      <c r="H34" s="7">
        <f>-CollectionWk</f>
        <v/>
      </c>
      <c r="I34" s="7">
        <f>-Invest*E34</f>
        <v/>
      </c>
      <c r="J34" s="7">
        <f>G34+H34+I34</f>
        <v/>
      </c>
      <c r="K34" s="7">
        <f>K33+J34</f>
        <v/>
      </c>
      <c r="L34" s="47">
        <f>IF(AND(D34=1,K33&lt;0,K34&gt;=0,J34&gt;0),(B33+(-K33/J34))/4,"")</f>
        <v/>
      </c>
    </row>
    <row r="35">
      <c r="A35" s="1" t="n"/>
      <c r="B35" s="45">
        <f>B34+1</f>
        <v/>
      </c>
      <c r="C35" s="45">
        <f>ROUNDUP(B35/4,0)</f>
        <v/>
      </c>
      <c r="D35" s="45">
        <f>IF(B35&lt;=Horizon*4,1,0)</f>
        <v/>
      </c>
      <c r="E35" s="45">
        <f>IF(AND(B35&gt;1,MOD(B35-1,MAX(1,Life)*4)=0),1,0)</f>
        <v/>
      </c>
      <c r="F35" s="7">
        <f>AcceptedWk</f>
        <v/>
      </c>
      <c r="G35" s="7">
        <f>RevenueWk</f>
        <v/>
      </c>
      <c r="H35" s="7">
        <f>-CollectionWk</f>
        <v/>
      </c>
      <c r="I35" s="7">
        <f>-Invest*E35</f>
        <v/>
      </c>
      <c r="J35" s="7">
        <f>G35+H35+I35</f>
        <v/>
      </c>
      <c r="K35" s="7">
        <f>K34+J35</f>
        <v/>
      </c>
      <c r="L35" s="47">
        <f>IF(AND(D35=1,K34&lt;0,K35&gt;=0,J35&gt;0),(B34+(-K34/J35))/4,"")</f>
        <v/>
      </c>
    </row>
    <row r="36">
      <c r="A36" s="1" t="n"/>
      <c r="B36" s="45">
        <f>B35+1</f>
        <v/>
      </c>
      <c r="C36" s="45">
        <f>ROUNDUP(B36/4,0)</f>
        <v/>
      </c>
      <c r="D36" s="45">
        <f>IF(B36&lt;=Horizon*4,1,0)</f>
        <v/>
      </c>
      <c r="E36" s="45">
        <f>IF(AND(B36&gt;1,MOD(B36-1,MAX(1,Life)*4)=0),1,0)</f>
        <v/>
      </c>
      <c r="F36" s="7">
        <f>AcceptedWk</f>
        <v/>
      </c>
      <c r="G36" s="7">
        <f>RevenueWk</f>
        <v/>
      </c>
      <c r="H36" s="7">
        <f>-CollectionWk</f>
        <v/>
      </c>
      <c r="I36" s="7">
        <f>-Invest*E36</f>
        <v/>
      </c>
      <c r="J36" s="7">
        <f>G36+H36+I36</f>
        <v/>
      </c>
      <c r="K36" s="7">
        <f>K35+J36</f>
        <v/>
      </c>
      <c r="L36" s="47">
        <f>IF(AND(D36=1,K35&lt;0,K36&gt;=0,J36&gt;0),(B35+(-K35/J36))/4,"")</f>
        <v/>
      </c>
    </row>
    <row r="37">
      <c r="A37" s="1" t="n"/>
      <c r="B37" s="45">
        <f>B36+1</f>
        <v/>
      </c>
      <c r="C37" s="45">
        <f>ROUNDUP(B37/4,0)</f>
        <v/>
      </c>
      <c r="D37" s="45">
        <f>IF(B37&lt;=Horizon*4,1,0)</f>
        <v/>
      </c>
      <c r="E37" s="45">
        <f>IF(AND(B37&gt;1,MOD(B37-1,MAX(1,Life)*4)=0),1,0)</f>
        <v/>
      </c>
      <c r="F37" s="7">
        <f>AcceptedWk</f>
        <v/>
      </c>
      <c r="G37" s="7">
        <f>RevenueWk</f>
        <v/>
      </c>
      <c r="H37" s="7">
        <f>-CollectionWk</f>
        <v/>
      </c>
      <c r="I37" s="7">
        <f>-Invest*E37</f>
        <v/>
      </c>
      <c r="J37" s="7">
        <f>G37+H37+I37</f>
        <v/>
      </c>
      <c r="K37" s="7">
        <f>K36+J37</f>
        <v/>
      </c>
      <c r="L37" s="47">
        <f>IF(AND(D37=1,K36&lt;0,K37&gt;=0,J37&gt;0),(B36+(-K36/J37))/4,"")</f>
        <v/>
      </c>
    </row>
    <row r="38">
      <c r="A38" s="1" t="n"/>
      <c r="B38" s="45">
        <f>B37+1</f>
        <v/>
      </c>
      <c r="C38" s="45">
        <f>ROUNDUP(B38/4,0)</f>
        <v/>
      </c>
      <c r="D38" s="45">
        <f>IF(B38&lt;=Horizon*4,1,0)</f>
        <v/>
      </c>
      <c r="E38" s="45">
        <f>IF(AND(B38&gt;1,MOD(B38-1,MAX(1,Life)*4)=0),1,0)</f>
        <v/>
      </c>
      <c r="F38" s="7">
        <f>AcceptedWk</f>
        <v/>
      </c>
      <c r="G38" s="7">
        <f>RevenueWk</f>
        <v/>
      </c>
      <c r="H38" s="7">
        <f>-CollectionWk</f>
        <v/>
      </c>
      <c r="I38" s="7">
        <f>-Invest*E38</f>
        <v/>
      </c>
      <c r="J38" s="7">
        <f>G38+H38+I38</f>
        <v/>
      </c>
      <c r="K38" s="7">
        <f>K37+J38</f>
        <v/>
      </c>
      <c r="L38" s="47">
        <f>IF(AND(D38=1,K37&lt;0,K38&gt;=0,J38&gt;0),(B37+(-K37/J38))/4,"")</f>
        <v/>
      </c>
    </row>
    <row r="39">
      <c r="A39" s="1" t="n"/>
      <c r="B39" s="45">
        <f>B38+1</f>
        <v/>
      </c>
      <c r="C39" s="45">
        <f>ROUNDUP(B39/4,0)</f>
        <v/>
      </c>
      <c r="D39" s="45">
        <f>IF(B39&lt;=Horizon*4,1,0)</f>
        <v/>
      </c>
      <c r="E39" s="45">
        <f>IF(AND(B39&gt;1,MOD(B39-1,MAX(1,Life)*4)=0),1,0)</f>
        <v/>
      </c>
      <c r="F39" s="7">
        <f>AcceptedWk</f>
        <v/>
      </c>
      <c r="G39" s="7">
        <f>RevenueWk</f>
        <v/>
      </c>
      <c r="H39" s="7">
        <f>-CollectionWk</f>
        <v/>
      </c>
      <c r="I39" s="7">
        <f>-Invest*E39</f>
        <v/>
      </c>
      <c r="J39" s="7">
        <f>G39+H39+I39</f>
        <v/>
      </c>
      <c r="K39" s="7">
        <f>K38+J39</f>
        <v/>
      </c>
      <c r="L39" s="47">
        <f>IF(AND(D39=1,K38&lt;0,K39&gt;=0,J39&gt;0),(B38+(-K38/J39))/4,"")</f>
        <v/>
      </c>
    </row>
    <row r="40">
      <c r="A40" s="1" t="n"/>
      <c r="B40" s="45">
        <f>B39+1</f>
        <v/>
      </c>
      <c r="C40" s="45">
        <f>ROUNDUP(B40/4,0)</f>
        <v/>
      </c>
      <c r="D40" s="45">
        <f>IF(B40&lt;=Horizon*4,1,0)</f>
        <v/>
      </c>
      <c r="E40" s="45">
        <f>IF(AND(B40&gt;1,MOD(B40-1,MAX(1,Life)*4)=0),1,0)</f>
        <v/>
      </c>
      <c r="F40" s="7">
        <f>AcceptedWk</f>
        <v/>
      </c>
      <c r="G40" s="7">
        <f>RevenueWk</f>
        <v/>
      </c>
      <c r="H40" s="7">
        <f>-CollectionWk</f>
        <v/>
      </c>
      <c r="I40" s="7">
        <f>-Invest*E40</f>
        <v/>
      </c>
      <c r="J40" s="7">
        <f>G40+H40+I40</f>
        <v/>
      </c>
      <c r="K40" s="7">
        <f>K39+J40</f>
        <v/>
      </c>
      <c r="L40" s="47">
        <f>IF(AND(D40=1,K39&lt;0,K40&gt;=0,J40&gt;0),(B39+(-K39/J40))/4,"")</f>
        <v/>
      </c>
    </row>
    <row r="41">
      <c r="A41" s="1" t="n"/>
      <c r="B41" s="45">
        <f>B40+1</f>
        <v/>
      </c>
      <c r="C41" s="45">
        <f>ROUNDUP(B41/4,0)</f>
        <v/>
      </c>
      <c r="D41" s="45">
        <f>IF(B41&lt;=Horizon*4,1,0)</f>
        <v/>
      </c>
      <c r="E41" s="45">
        <f>IF(AND(B41&gt;1,MOD(B41-1,MAX(1,Life)*4)=0),1,0)</f>
        <v/>
      </c>
      <c r="F41" s="7">
        <f>AcceptedWk</f>
        <v/>
      </c>
      <c r="G41" s="7">
        <f>RevenueWk</f>
        <v/>
      </c>
      <c r="H41" s="7">
        <f>-CollectionWk</f>
        <v/>
      </c>
      <c r="I41" s="7">
        <f>-Invest*E41</f>
        <v/>
      </c>
      <c r="J41" s="7">
        <f>G41+H41+I41</f>
        <v/>
      </c>
      <c r="K41" s="7">
        <f>K40+J41</f>
        <v/>
      </c>
      <c r="L41" s="47">
        <f>IF(AND(D41=1,K40&lt;0,K41&gt;=0,J41&gt;0),(B40+(-K40/J41))/4,"")</f>
        <v/>
      </c>
    </row>
    <row r="42">
      <c r="A42" s="1" t="n"/>
      <c r="B42" s="45">
        <f>B41+1</f>
        <v/>
      </c>
      <c r="C42" s="45">
        <f>ROUNDUP(B42/4,0)</f>
        <v/>
      </c>
      <c r="D42" s="45">
        <f>IF(B42&lt;=Horizon*4,1,0)</f>
        <v/>
      </c>
      <c r="E42" s="45">
        <f>IF(AND(B42&gt;1,MOD(B42-1,MAX(1,Life)*4)=0),1,0)</f>
        <v/>
      </c>
      <c r="F42" s="7">
        <f>AcceptedWk</f>
        <v/>
      </c>
      <c r="G42" s="7">
        <f>RevenueWk</f>
        <v/>
      </c>
      <c r="H42" s="7">
        <f>-CollectionWk</f>
        <v/>
      </c>
      <c r="I42" s="7">
        <f>-Invest*E42</f>
        <v/>
      </c>
      <c r="J42" s="7">
        <f>G42+H42+I42</f>
        <v/>
      </c>
      <c r="K42" s="7">
        <f>K41+J42</f>
        <v/>
      </c>
      <c r="L42" s="47">
        <f>IF(AND(D42=1,K41&lt;0,K42&gt;=0,J42&gt;0),(B41+(-K41/J42))/4,"")</f>
        <v/>
      </c>
    </row>
    <row r="43">
      <c r="A43" s="1" t="n"/>
      <c r="B43" s="45">
        <f>B42+1</f>
        <v/>
      </c>
      <c r="C43" s="45">
        <f>ROUNDUP(B43/4,0)</f>
        <v/>
      </c>
      <c r="D43" s="45">
        <f>IF(B43&lt;=Horizon*4,1,0)</f>
        <v/>
      </c>
      <c r="E43" s="45">
        <f>IF(AND(B43&gt;1,MOD(B43-1,MAX(1,Life)*4)=0),1,0)</f>
        <v/>
      </c>
      <c r="F43" s="7">
        <f>AcceptedWk</f>
        <v/>
      </c>
      <c r="G43" s="7">
        <f>RevenueWk</f>
        <v/>
      </c>
      <c r="H43" s="7">
        <f>-CollectionWk</f>
        <v/>
      </c>
      <c r="I43" s="7">
        <f>-Invest*E43</f>
        <v/>
      </c>
      <c r="J43" s="7">
        <f>G43+H43+I43</f>
        <v/>
      </c>
      <c r="K43" s="7">
        <f>K42+J43</f>
        <v/>
      </c>
      <c r="L43" s="47">
        <f>IF(AND(D43=1,K42&lt;0,K43&gt;=0,J43&gt;0),(B42+(-K42/J43))/4,"")</f>
        <v/>
      </c>
    </row>
    <row r="44">
      <c r="A44" s="1" t="n"/>
      <c r="B44" s="45">
        <f>B43+1</f>
        <v/>
      </c>
      <c r="C44" s="45">
        <f>ROUNDUP(B44/4,0)</f>
        <v/>
      </c>
      <c r="D44" s="45">
        <f>IF(B44&lt;=Horizon*4,1,0)</f>
        <v/>
      </c>
      <c r="E44" s="45">
        <f>IF(AND(B44&gt;1,MOD(B44-1,MAX(1,Life)*4)=0),1,0)</f>
        <v/>
      </c>
      <c r="F44" s="7">
        <f>AcceptedWk</f>
        <v/>
      </c>
      <c r="G44" s="7">
        <f>RevenueWk</f>
        <v/>
      </c>
      <c r="H44" s="7">
        <f>-CollectionWk</f>
        <v/>
      </c>
      <c r="I44" s="7">
        <f>-Invest*E44</f>
        <v/>
      </c>
      <c r="J44" s="7">
        <f>G44+H44+I44</f>
        <v/>
      </c>
      <c r="K44" s="7">
        <f>K43+J44</f>
        <v/>
      </c>
      <c r="L44" s="47">
        <f>IF(AND(D44=1,K43&lt;0,K44&gt;=0,J44&gt;0),(B43+(-K43/J44))/4,"")</f>
        <v/>
      </c>
    </row>
    <row r="45">
      <c r="A45" s="1" t="n"/>
      <c r="B45" s="45">
        <f>B44+1</f>
        <v/>
      </c>
      <c r="C45" s="45">
        <f>ROUNDUP(B45/4,0)</f>
        <v/>
      </c>
      <c r="D45" s="45">
        <f>IF(B45&lt;=Horizon*4,1,0)</f>
        <v/>
      </c>
      <c r="E45" s="45">
        <f>IF(AND(B45&gt;1,MOD(B45-1,MAX(1,Life)*4)=0),1,0)</f>
        <v/>
      </c>
      <c r="F45" s="7">
        <f>AcceptedWk</f>
        <v/>
      </c>
      <c r="G45" s="7">
        <f>RevenueWk</f>
        <v/>
      </c>
      <c r="H45" s="7">
        <f>-CollectionWk</f>
        <v/>
      </c>
      <c r="I45" s="7">
        <f>-Invest*E45</f>
        <v/>
      </c>
      <c r="J45" s="7">
        <f>G45+H45+I45</f>
        <v/>
      </c>
      <c r="K45" s="7">
        <f>K44+J45</f>
        <v/>
      </c>
      <c r="L45" s="47">
        <f>IF(AND(D45=1,K44&lt;0,K45&gt;=0,J45&gt;0),(B44+(-K44/J45))/4,"")</f>
        <v/>
      </c>
    </row>
    <row r="46">
      <c r="A46" s="1" t="n"/>
      <c r="B46" s="45">
        <f>B45+1</f>
        <v/>
      </c>
      <c r="C46" s="45">
        <f>ROUNDUP(B46/4,0)</f>
        <v/>
      </c>
      <c r="D46" s="45">
        <f>IF(B46&lt;=Horizon*4,1,0)</f>
        <v/>
      </c>
      <c r="E46" s="45">
        <f>IF(AND(B46&gt;1,MOD(B46-1,MAX(1,Life)*4)=0),1,0)</f>
        <v/>
      </c>
      <c r="F46" s="7">
        <f>AcceptedWk</f>
        <v/>
      </c>
      <c r="G46" s="7">
        <f>RevenueWk</f>
        <v/>
      </c>
      <c r="H46" s="7">
        <f>-CollectionWk</f>
        <v/>
      </c>
      <c r="I46" s="7">
        <f>-Invest*E46</f>
        <v/>
      </c>
      <c r="J46" s="7">
        <f>G46+H46+I46</f>
        <v/>
      </c>
      <c r="K46" s="7">
        <f>K45+J46</f>
        <v/>
      </c>
      <c r="L46" s="47">
        <f>IF(AND(D46=1,K45&lt;0,K46&gt;=0,J46&gt;0),(B45+(-K45/J46))/4,"")</f>
        <v/>
      </c>
    </row>
    <row r="47">
      <c r="A47" s="1" t="n"/>
      <c r="B47" s="45">
        <f>B46+1</f>
        <v/>
      </c>
      <c r="C47" s="45">
        <f>ROUNDUP(B47/4,0)</f>
        <v/>
      </c>
      <c r="D47" s="45">
        <f>IF(B47&lt;=Horizon*4,1,0)</f>
        <v/>
      </c>
      <c r="E47" s="45">
        <f>IF(AND(B47&gt;1,MOD(B47-1,MAX(1,Life)*4)=0),1,0)</f>
        <v/>
      </c>
      <c r="F47" s="7">
        <f>AcceptedWk</f>
        <v/>
      </c>
      <c r="G47" s="7">
        <f>RevenueWk</f>
        <v/>
      </c>
      <c r="H47" s="7">
        <f>-CollectionWk</f>
        <v/>
      </c>
      <c r="I47" s="7">
        <f>-Invest*E47</f>
        <v/>
      </c>
      <c r="J47" s="7">
        <f>G47+H47+I47</f>
        <v/>
      </c>
      <c r="K47" s="7">
        <f>K46+J47</f>
        <v/>
      </c>
      <c r="L47" s="47">
        <f>IF(AND(D47=1,K46&lt;0,K47&gt;=0,J47&gt;0),(B46+(-K46/J47))/4,"")</f>
        <v/>
      </c>
    </row>
    <row r="48">
      <c r="A48" s="1" t="n"/>
      <c r="B48" s="45">
        <f>B47+1</f>
        <v/>
      </c>
      <c r="C48" s="45">
        <f>ROUNDUP(B48/4,0)</f>
        <v/>
      </c>
      <c r="D48" s="45">
        <f>IF(B48&lt;=Horizon*4,1,0)</f>
        <v/>
      </c>
      <c r="E48" s="45">
        <f>IF(AND(B48&gt;1,MOD(B48-1,MAX(1,Life)*4)=0),1,0)</f>
        <v/>
      </c>
      <c r="F48" s="7">
        <f>AcceptedWk</f>
        <v/>
      </c>
      <c r="G48" s="7">
        <f>RevenueWk</f>
        <v/>
      </c>
      <c r="H48" s="7">
        <f>-CollectionWk</f>
        <v/>
      </c>
      <c r="I48" s="7">
        <f>-Invest*E48</f>
        <v/>
      </c>
      <c r="J48" s="7">
        <f>G48+H48+I48</f>
        <v/>
      </c>
      <c r="K48" s="7">
        <f>K47+J48</f>
        <v/>
      </c>
      <c r="L48" s="47">
        <f>IF(AND(D48=1,K47&lt;0,K48&gt;=0,J48&gt;0),(B47+(-K47/J48))/4,"")</f>
        <v/>
      </c>
    </row>
    <row r="49">
      <c r="A49" s="1" t="n"/>
      <c r="B49" s="45">
        <f>B48+1</f>
        <v/>
      </c>
      <c r="C49" s="45">
        <f>ROUNDUP(B49/4,0)</f>
        <v/>
      </c>
      <c r="D49" s="45">
        <f>IF(B49&lt;=Horizon*4,1,0)</f>
        <v/>
      </c>
      <c r="E49" s="45">
        <f>IF(AND(B49&gt;1,MOD(B49-1,MAX(1,Life)*4)=0),1,0)</f>
        <v/>
      </c>
      <c r="F49" s="7">
        <f>AcceptedWk</f>
        <v/>
      </c>
      <c r="G49" s="7">
        <f>RevenueWk</f>
        <v/>
      </c>
      <c r="H49" s="7">
        <f>-CollectionWk</f>
        <v/>
      </c>
      <c r="I49" s="7">
        <f>-Invest*E49</f>
        <v/>
      </c>
      <c r="J49" s="7">
        <f>G49+H49+I49</f>
        <v/>
      </c>
      <c r="K49" s="7">
        <f>K48+J49</f>
        <v/>
      </c>
      <c r="L49" s="47">
        <f>IF(AND(D49=1,K48&lt;0,K49&gt;=0,J49&gt;0),(B48+(-K48/J49))/4,"")</f>
        <v/>
      </c>
    </row>
    <row r="50">
      <c r="A50" s="1" t="n"/>
      <c r="B50" s="45">
        <f>B49+1</f>
        <v/>
      </c>
      <c r="C50" s="45">
        <f>ROUNDUP(B50/4,0)</f>
        <v/>
      </c>
      <c r="D50" s="45">
        <f>IF(B50&lt;=Horizon*4,1,0)</f>
        <v/>
      </c>
      <c r="E50" s="45">
        <f>IF(AND(B50&gt;1,MOD(B50-1,MAX(1,Life)*4)=0),1,0)</f>
        <v/>
      </c>
      <c r="F50" s="7">
        <f>AcceptedWk</f>
        <v/>
      </c>
      <c r="G50" s="7">
        <f>RevenueWk</f>
        <v/>
      </c>
      <c r="H50" s="7">
        <f>-CollectionWk</f>
        <v/>
      </c>
      <c r="I50" s="7">
        <f>-Invest*E50</f>
        <v/>
      </c>
      <c r="J50" s="7">
        <f>G50+H50+I50</f>
        <v/>
      </c>
      <c r="K50" s="7">
        <f>K49+J50</f>
        <v/>
      </c>
      <c r="L50" s="47">
        <f>IF(AND(D50=1,K49&lt;0,K50&gt;=0,J50&gt;0),(B49+(-K49/J50))/4,"")</f>
        <v/>
      </c>
    </row>
    <row r="51">
      <c r="A51" s="1" t="n"/>
      <c r="B51" s="45">
        <f>B50+1</f>
        <v/>
      </c>
      <c r="C51" s="45">
        <f>ROUNDUP(B51/4,0)</f>
        <v/>
      </c>
      <c r="D51" s="45">
        <f>IF(B51&lt;=Horizon*4,1,0)</f>
        <v/>
      </c>
      <c r="E51" s="45">
        <f>IF(AND(B51&gt;1,MOD(B51-1,MAX(1,Life)*4)=0),1,0)</f>
        <v/>
      </c>
      <c r="F51" s="7">
        <f>AcceptedWk</f>
        <v/>
      </c>
      <c r="G51" s="7">
        <f>RevenueWk</f>
        <v/>
      </c>
      <c r="H51" s="7">
        <f>-CollectionWk</f>
        <v/>
      </c>
      <c r="I51" s="7">
        <f>-Invest*E51</f>
        <v/>
      </c>
      <c r="J51" s="7">
        <f>G51+H51+I51</f>
        <v/>
      </c>
      <c r="K51" s="7">
        <f>K50+J51</f>
        <v/>
      </c>
      <c r="L51" s="47">
        <f>IF(AND(D51=1,K50&lt;0,K51&gt;=0,J51&gt;0),(B50+(-K50/J51))/4,"")</f>
        <v/>
      </c>
    </row>
    <row r="52">
      <c r="A52" s="1" t="n"/>
      <c r="B52" s="45">
        <f>B51+1</f>
        <v/>
      </c>
      <c r="C52" s="45">
        <f>ROUNDUP(B52/4,0)</f>
        <v/>
      </c>
      <c r="D52" s="45">
        <f>IF(B52&lt;=Horizon*4,1,0)</f>
        <v/>
      </c>
      <c r="E52" s="45">
        <f>IF(AND(B52&gt;1,MOD(B52-1,MAX(1,Life)*4)=0),1,0)</f>
        <v/>
      </c>
      <c r="F52" s="7">
        <f>AcceptedWk</f>
        <v/>
      </c>
      <c r="G52" s="7">
        <f>RevenueWk</f>
        <v/>
      </c>
      <c r="H52" s="7">
        <f>-CollectionWk</f>
        <v/>
      </c>
      <c r="I52" s="7">
        <f>-Invest*E52</f>
        <v/>
      </c>
      <c r="J52" s="7">
        <f>G52+H52+I52</f>
        <v/>
      </c>
      <c r="K52" s="7">
        <f>K51+J52</f>
        <v/>
      </c>
      <c r="L52" s="47">
        <f>IF(AND(D52=1,K51&lt;0,K52&gt;=0,J52&gt;0),(B51+(-K51/J52))/4,"")</f>
        <v/>
      </c>
    </row>
    <row r="53">
      <c r="A53" s="1" t="n"/>
      <c r="B53" s="45">
        <f>B52+1</f>
        <v/>
      </c>
      <c r="C53" s="45">
        <f>ROUNDUP(B53/4,0)</f>
        <v/>
      </c>
      <c r="D53" s="45">
        <f>IF(B53&lt;=Horizon*4,1,0)</f>
        <v/>
      </c>
      <c r="E53" s="45">
        <f>IF(AND(B53&gt;1,MOD(B53-1,MAX(1,Life)*4)=0),1,0)</f>
        <v/>
      </c>
      <c r="F53" s="7">
        <f>AcceptedWk</f>
        <v/>
      </c>
      <c r="G53" s="7">
        <f>RevenueWk</f>
        <v/>
      </c>
      <c r="H53" s="7">
        <f>-CollectionWk</f>
        <v/>
      </c>
      <c r="I53" s="7">
        <f>-Invest*E53</f>
        <v/>
      </c>
      <c r="J53" s="7">
        <f>G53+H53+I53</f>
        <v/>
      </c>
      <c r="K53" s="7">
        <f>K52+J53</f>
        <v/>
      </c>
      <c r="L53" s="47">
        <f>IF(AND(D53=1,K52&lt;0,K53&gt;=0,J53&gt;0),(B52+(-K52/J53))/4,"")</f>
        <v/>
      </c>
    </row>
    <row r="54">
      <c r="A54" s="1" t="n"/>
      <c r="B54" s="45">
        <f>B53+1</f>
        <v/>
      </c>
      <c r="C54" s="45">
        <f>ROUNDUP(B54/4,0)</f>
        <v/>
      </c>
      <c r="D54" s="45">
        <f>IF(B54&lt;=Horizon*4,1,0)</f>
        <v/>
      </c>
      <c r="E54" s="45">
        <f>IF(AND(B54&gt;1,MOD(B54-1,MAX(1,Life)*4)=0),1,0)</f>
        <v/>
      </c>
      <c r="F54" s="7">
        <f>AcceptedWk</f>
        <v/>
      </c>
      <c r="G54" s="7">
        <f>RevenueWk</f>
        <v/>
      </c>
      <c r="H54" s="7">
        <f>-CollectionWk</f>
        <v/>
      </c>
      <c r="I54" s="7">
        <f>-Invest*E54</f>
        <v/>
      </c>
      <c r="J54" s="7">
        <f>G54+H54+I54</f>
        <v/>
      </c>
      <c r="K54" s="7">
        <f>K53+J54</f>
        <v/>
      </c>
      <c r="L54" s="47">
        <f>IF(AND(D54=1,K53&lt;0,K54&gt;=0,J54&gt;0),(B53+(-K53/J54))/4,"")</f>
        <v/>
      </c>
    </row>
    <row r="55">
      <c r="A55" s="1" t="n"/>
      <c r="B55" s="45">
        <f>B54+1</f>
        <v/>
      </c>
      <c r="C55" s="45">
        <f>ROUNDUP(B55/4,0)</f>
        <v/>
      </c>
      <c r="D55" s="45">
        <f>IF(B55&lt;=Horizon*4,1,0)</f>
        <v/>
      </c>
      <c r="E55" s="45">
        <f>IF(AND(B55&gt;1,MOD(B55-1,MAX(1,Life)*4)=0),1,0)</f>
        <v/>
      </c>
      <c r="F55" s="7">
        <f>AcceptedWk</f>
        <v/>
      </c>
      <c r="G55" s="7">
        <f>RevenueWk</f>
        <v/>
      </c>
      <c r="H55" s="7">
        <f>-CollectionWk</f>
        <v/>
      </c>
      <c r="I55" s="7">
        <f>-Invest*E55</f>
        <v/>
      </c>
      <c r="J55" s="7">
        <f>G55+H55+I55</f>
        <v/>
      </c>
      <c r="K55" s="7">
        <f>K54+J55</f>
        <v/>
      </c>
      <c r="L55" s="47">
        <f>IF(AND(D55=1,K54&lt;0,K55&gt;=0,J55&gt;0),(B54+(-K54/J55))/4,"")</f>
        <v/>
      </c>
    </row>
    <row r="56">
      <c r="A56" s="1" t="n"/>
      <c r="B56" s="45">
        <f>B55+1</f>
        <v/>
      </c>
      <c r="C56" s="45">
        <f>ROUNDUP(B56/4,0)</f>
        <v/>
      </c>
      <c r="D56" s="45">
        <f>IF(B56&lt;=Horizon*4,1,0)</f>
        <v/>
      </c>
      <c r="E56" s="45">
        <f>IF(AND(B56&gt;1,MOD(B56-1,MAX(1,Life)*4)=0),1,0)</f>
        <v/>
      </c>
      <c r="F56" s="7">
        <f>AcceptedWk</f>
        <v/>
      </c>
      <c r="G56" s="7">
        <f>RevenueWk</f>
        <v/>
      </c>
      <c r="H56" s="7">
        <f>-CollectionWk</f>
        <v/>
      </c>
      <c r="I56" s="7">
        <f>-Invest*E56</f>
        <v/>
      </c>
      <c r="J56" s="7">
        <f>G56+H56+I56</f>
        <v/>
      </c>
      <c r="K56" s="7">
        <f>K55+J56</f>
        <v/>
      </c>
      <c r="L56" s="47">
        <f>IF(AND(D56=1,K55&lt;0,K56&gt;=0,J56&gt;0),(B55+(-K55/J56))/4,"")</f>
        <v/>
      </c>
    </row>
    <row r="57">
      <c r="A57" s="1" t="n"/>
      <c r="B57" s="45">
        <f>B56+1</f>
        <v/>
      </c>
      <c r="C57" s="45">
        <f>ROUNDUP(B57/4,0)</f>
        <v/>
      </c>
      <c r="D57" s="45">
        <f>IF(B57&lt;=Horizon*4,1,0)</f>
        <v/>
      </c>
      <c r="E57" s="45">
        <f>IF(AND(B57&gt;1,MOD(B57-1,MAX(1,Life)*4)=0),1,0)</f>
        <v/>
      </c>
      <c r="F57" s="7">
        <f>AcceptedWk</f>
        <v/>
      </c>
      <c r="G57" s="7">
        <f>RevenueWk</f>
        <v/>
      </c>
      <c r="H57" s="7">
        <f>-CollectionWk</f>
        <v/>
      </c>
      <c r="I57" s="7">
        <f>-Invest*E57</f>
        <v/>
      </c>
      <c r="J57" s="7">
        <f>G57+H57+I57</f>
        <v/>
      </c>
      <c r="K57" s="7">
        <f>K56+J57</f>
        <v/>
      </c>
      <c r="L57" s="47">
        <f>IF(AND(D57=1,K56&lt;0,K57&gt;=0,J57&gt;0),(B56+(-K56/J57))/4,"")</f>
        <v/>
      </c>
    </row>
    <row r="58">
      <c r="A58" s="1" t="n"/>
      <c r="B58" s="45">
        <f>B57+1</f>
        <v/>
      </c>
      <c r="C58" s="45">
        <f>ROUNDUP(B58/4,0)</f>
        <v/>
      </c>
      <c r="D58" s="45">
        <f>IF(B58&lt;=Horizon*4,1,0)</f>
        <v/>
      </c>
      <c r="E58" s="45">
        <f>IF(AND(B58&gt;1,MOD(B58-1,MAX(1,Life)*4)=0),1,0)</f>
        <v/>
      </c>
      <c r="F58" s="7">
        <f>AcceptedWk</f>
        <v/>
      </c>
      <c r="G58" s="7">
        <f>RevenueWk</f>
        <v/>
      </c>
      <c r="H58" s="7">
        <f>-CollectionWk</f>
        <v/>
      </c>
      <c r="I58" s="7">
        <f>-Invest*E58</f>
        <v/>
      </c>
      <c r="J58" s="7">
        <f>G58+H58+I58</f>
        <v/>
      </c>
      <c r="K58" s="7">
        <f>K57+J58</f>
        <v/>
      </c>
      <c r="L58" s="47">
        <f>IF(AND(D58=1,K57&lt;0,K58&gt;=0,J58&gt;0),(B57+(-K57/J58))/4,"")</f>
        <v/>
      </c>
    </row>
    <row r="59">
      <c r="A59" s="1" t="n"/>
      <c r="B59" s="45">
        <f>B58+1</f>
        <v/>
      </c>
      <c r="C59" s="45">
        <f>ROUNDUP(B59/4,0)</f>
        <v/>
      </c>
      <c r="D59" s="45">
        <f>IF(B59&lt;=Horizon*4,1,0)</f>
        <v/>
      </c>
      <c r="E59" s="45">
        <f>IF(AND(B59&gt;1,MOD(B59-1,MAX(1,Life)*4)=0),1,0)</f>
        <v/>
      </c>
      <c r="F59" s="7">
        <f>AcceptedWk</f>
        <v/>
      </c>
      <c r="G59" s="7">
        <f>RevenueWk</f>
        <v/>
      </c>
      <c r="H59" s="7">
        <f>-CollectionWk</f>
        <v/>
      </c>
      <c r="I59" s="7">
        <f>-Invest*E59</f>
        <v/>
      </c>
      <c r="J59" s="7">
        <f>G59+H59+I59</f>
        <v/>
      </c>
      <c r="K59" s="7">
        <f>K58+J59</f>
        <v/>
      </c>
      <c r="L59" s="47">
        <f>IF(AND(D59=1,K58&lt;0,K59&gt;=0,J59&gt;0),(B58+(-K58/J59))/4,"")</f>
        <v/>
      </c>
    </row>
    <row r="60">
      <c r="A60" s="1" t="n"/>
      <c r="B60" s="45">
        <f>B59+1</f>
        <v/>
      </c>
      <c r="C60" s="45">
        <f>ROUNDUP(B60/4,0)</f>
        <v/>
      </c>
      <c r="D60" s="45">
        <f>IF(B60&lt;=Horizon*4,1,0)</f>
        <v/>
      </c>
      <c r="E60" s="45">
        <f>IF(AND(B60&gt;1,MOD(B60-1,MAX(1,Life)*4)=0),1,0)</f>
        <v/>
      </c>
      <c r="F60" s="7">
        <f>AcceptedWk</f>
        <v/>
      </c>
      <c r="G60" s="7">
        <f>RevenueWk</f>
        <v/>
      </c>
      <c r="H60" s="7">
        <f>-CollectionWk</f>
        <v/>
      </c>
      <c r="I60" s="7">
        <f>-Invest*E60</f>
        <v/>
      </c>
      <c r="J60" s="7">
        <f>G60+H60+I60</f>
        <v/>
      </c>
      <c r="K60" s="7">
        <f>K59+J60</f>
        <v/>
      </c>
      <c r="L60" s="47">
        <f>IF(AND(D60=1,K59&lt;0,K60&gt;=0,J60&gt;0),(B59+(-K59/J60))/4,"")</f>
        <v/>
      </c>
    </row>
    <row r="61">
      <c r="A61" s="1" t="n"/>
      <c r="B61" s="45">
        <f>B60+1</f>
        <v/>
      </c>
      <c r="C61" s="45">
        <f>ROUNDUP(B61/4,0)</f>
        <v/>
      </c>
      <c r="D61" s="45">
        <f>IF(B61&lt;=Horizon*4,1,0)</f>
        <v/>
      </c>
      <c r="E61" s="45">
        <f>IF(AND(B61&gt;1,MOD(B61-1,MAX(1,Life)*4)=0),1,0)</f>
        <v/>
      </c>
      <c r="F61" s="7">
        <f>AcceptedWk</f>
        <v/>
      </c>
      <c r="G61" s="7">
        <f>RevenueWk</f>
        <v/>
      </c>
      <c r="H61" s="7">
        <f>-CollectionWk</f>
        <v/>
      </c>
      <c r="I61" s="7">
        <f>-Invest*E61</f>
        <v/>
      </c>
      <c r="J61" s="7">
        <f>G61+H61+I61</f>
        <v/>
      </c>
      <c r="K61" s="7">
        <f>K60+J61</f>
        <v/>
      </c>
      <c r="L61" s="47">
        <f>IF(AND(D61=1,K60&lt;0,K61&gt;=0,J61&gt;0),(B60+(-K60/J61))/4,"")</f>
        <v/>
      </c>
    </row>
    <row r="62">
      <c r="A62" s="1" t="n"/>
      <c r="B62" s="45">
        <f>B61+1</f>
        <v/>
      </c>
      <c r="C62" s="45">
        <f>ROUNDUP(B62/4,0)</f>
        <v/>
      </c>
      <c r="D62" s="45">
        <f>IF(B62&lt;=Horizon*4,1,0)</f>
        <v/>
      </c>
      <c r="E62" s="45">
        <f>IF(AND(B62&gt;1,MOD(B62-1,MAX(1,Life)*4)=0),1,0)</f>
        <v/>
      </c>
      <c r="F62" s="7">
        <f>AcceptedWk</f>
        <v/>
      </c>
      <c r="G62" s="7">
        <f>RevenueWk</f>
        <v/>
      </c>
      <c r="H62" s="7">
        <f>-CollectionWk</f>
        <v/>
      </c>
      <c r="I62" s="7">
        <f>-Invest*E62</f>
        <v/>
      </c>
      <c r="J62" s="7">
        <f>G62+H62+I62</f>
        <v/>
      </c>
      <c r="K62" s="7">
        <f>K61+J62</f>
        <v/>
      </c>
      <c r="L62" s="47">
        <f>IF(AND(D62=1,K61&lt;0,K62&gt;=0,J62&gt;0),(B61+(-K61/J62))/4,"")</f>
        <v/>
      </c>
    </row>
    <row r="63">
      <c r="A63" s="1" t="n"/>
      <c r="B63" s="45">
        <f>B62+1</f>
        <v/>
      </c>
      <c r="C63" s="45">
        <f>ROUNDUP(B63/4,0)</f>
        <v/>
      </c>
      <c r="D63" s="45">
        <f>IF(B63&lt;=Horizon*4,1,0)</f>
        <v/>
      </c>
      <c r="E63" s="45">
        <f>IF(AND(B63&gt;1,MOD(B63-1,MAX(1,Life)*4)=0),1,0)</f>
        <v/>
      </c>
      <c r="F63" s="7">
        <f>AcceptedWk</f>
        <v/>
      </c>
      <c r="G63" s="7">
        <f>RevenueWk</f>
        <v/>
      </c>
      <c r="H63" s="7">
        <f>-CollectionWk</f>
        <v/>
      </c>
      <c r="I63" s="7">
        <f>-Invest*E63</f>
        <v/>
      </c>
      <c r="J63" s="7">
        <f>G63+H63+I63</f>
        <v/>
      </c>
      <c r="K63" s="7">
        <f>K62+J63</f>
        <v/>
      </c>
      <c r="L63" s="47">
        <f>IF(AND(D63=1,K62&lt;0,K63&gt;=0,J63&gt;0),(B62+(-K62/J63))/4,"")</f>
        <v/>
      </c>
    </row>
    <row r="64">
      <c r="A64" s="1" t="n"/>
      <c r="B64" s="45">
        <f>B63+1</f>
        <v/>
      </c>
      <c r="C64" s="45">
        <f>ROUNDUP(B64/4,0)</f>
        <v/>
      </c>
      <c r="D64" s="45">
        <f>IF(B64&lt;=Horizon*4,1,0)</f>
        <v/>
      </c>
      <c r="E64" s="45">
        <f>IF(AND(B64&gt;1,MOD(B64-1,MAX(1,Life)*4)=0),1,0)</f>
        <v/>
      </c>
      <c r="F64" s="7">
        <f>AcceptedWk</f>
        <v/>
      </c>
      <c r="G64" s="7">
        <f>RevenueWk</f>
        <v/>
      </c>
      <c r="H64" s="7">
        <f>-CollectionWk</f>
        <v/>
      </c>
      <c r="I64" s="7">
        <f>-Invest*E64</f>
        <v/>
      </c>
      <c r="J64" s="7">
        <f>G64+H64+I64</f>
        <v/>
      </c>
      <c r="K64" s="7">
        <f>K63+J64</f>
        <v/>
      </c>
      <c r="L64" s="47">
        <f>IF(AND(D64=1,K63&lt;0,K64&gt;=0,J64&gt;0),(B63+(-K63/J64))/4,"")</f>
        <v/>
      </c>
    </row>
    <row r="65">
      <c r="A65" s="1" t="n"/>
      <c r="B65" s="45">
        <f>B64+1</f>
        <v/>
      </c>
      <c r="C65" s="45">
        <f>ROUNDUP(B65/4,0)</f>
        <v/>
      </c>
      <c r="D65" s="45">
        <f>IF(B65&lt;=Horizon*4,1,0)</f>
        <v/>
      </c>
      <c r="E65" s="45">
        <f>IF(AND(B65&gt;1,MOD(B65-1,MAX(1,Life)*4)=0),1,0)</f>
        <v/>
      </c>
      <c r="F65" s="7">
        <f>AcceptedWk</f>
        <v/>
      </c>
      <c r="G65" s="7">
        <f>RevenueWk</f>
        <v/>
      </c>
      <c r="H65" s="7">
        <f>-CollectionWk</f>
        <v/>
      </c>
      <c r="I65" s="7">
        <f>-Invest*E65</f>
        <v/>
      </c>
      <c r="J65" s="7">
        <f>G65+H65+I65</f>
        <v/>
      </c>
      <c r="K65" s="7">
        <f>K64+J65</f>
        <v/>
      </c>
      <c r="L65" s="47">
        <f>IF(AND(D65=1,K64&lt;0,K65&gt;=0,J65&gt;0),(B64+(-K64/J65))/4,"")</f>
        <v/>
      </c>
    </row>
    <row r="66">
      <c r="A66" s="1" t="n"/>
      <c r="B66" s="45">
        <f>B65+1</f>
        <v/>
      </c>
      <c r="C66" s="45">
        <f>ROUNDUP(B66/4,0)</f>
        <v/>
      </c>
      <c r="D66" s="45">
        <f>IF(B66&lt;=Horizon*4,1,0)</f>
        <v/>
      </c>
      <c r="E66" s="45">
        <f>IF(AND(B66&gt;1,MOD(B66-1,MAX(1,Life)*4)=0),1,0)</f>
        <v/>
      </c>
      <c r="F66" s="7">
        <f>AcceptedWk</f>
        <v/>
      </c>
      <c r="G66" s="7">
        <f>RevenueWk</f>
        <v/>
      </c>
      <c r="H66" s="7">
        <f>-CollectionWk</f>
        <v/>
      </c>
      <c r="I66" s="7">
        <f>-Invest*E66</f>
        <v/>
      </c>
      <c r="J66" s="7">
        <f>G66+H66+I66</f>
        <v/>
      </c>
      <c r="K66" s="7">
        <f>K65+J66</f>
        <v/>
      </c>
      <c r="L66" s="47">
        <f>IF(AND(D66=1,K65&lt;0,K66&gt;=0,J66&gt;0),(B65+(-K65/J66))/4,"")</f>
        <v/>
      </c>
    </row>
    <row r="67">
      <c r="A67" s="1" t="n"/>
      <c r="B67" s="45">
        <f>B66+1</f>
        <v/>
      </c>
      <c r="C67" s="45">
        <f>ROUNDUP(B67/4,0)</f>
        <v/>
      </c>
      <c r="D67" s="45">
        <f>IF(B67&lt;=Horizon*4,1,0)</f>
        <v/>
      </c>
      <c r="E67" s="45">
        <f>IF(AND(B67&gt;1,MOD(B67-1,MAX(1,Life)*4)=0),1,0)</f>
        <v/>
      </c>
      <c r="F67" s="7">
        <f>AcceptedWk</f>
        <v/>
      </c>
      <c r="G67" s="7">
        <f>RevenueWk</f>
        <v/>
      </c>
      <c r="H67" s="7">
        <f>-CollectionWk</f>
        <v/>
      </c>
      <c r="I67" s="7">
        <f>-Invest*E67</f>
        <v/>
      </c>
      <c r="J67" s="7">
        <f>G67+H67+I67</f>
        <v/>
      </c>
      <c r="K67" s="7">
        <f>K66+J67</f>
        <v/>
      </c>
      <c r="L67" s="47">
        <f>IF(AND(D67=1,K66&lt;0,K67&gt;=0,J67&gt;0),(B66+(-K66/J67))/4,"")</f>
        <v/>
      </c>
    </row>
    <row r="68">
      <c r="A68" s="1" t="n"/>
      <c r="B68" s="45">
        <f>B67+1</f>
        <v/>
      </c>
      <c r="C68" s="45">
        <f>ROUNDUP(B68/4,0)</f>
        <v/>
      </c>
      <c r="D68" s="45">
        <f>IF(B68&lt;=Horizon*4,1,0)</f>
        <v/>
      </c>
      <c r="E68" s="45">
        <f>IF(AND(B68&gt;1,MOD(B68-1,MAX(1,Life)*4)=0),1,0)</f>
        <v/>
      </c>
      <c r="F68" s="7">
        <f>AcceptedWk</f>
        <v/>
      </c>
      <c r="G68" s="7">
        <f>RevenueWk</f>
        <v/>
      </c>
      <c r="H68" s="7">
        <f>-CollectionWk</f>
        <v/>
      </c>
      <c r="I68" s="7">
        <f>-Invest*E68</f>
        <v/>
      </c>
      <c r="J68" s="7">
        <f>G68+H68+I68</f>
        <v/>
      </c>
      <c r="K68" s="7">
        <f>K67+J68</f>
        <v/>
      </c>
      <c r="L68" s="47">
        <f>IF(AND(D68=1,K67&lt;0,K68&gt;=0,J68&gt;0),(B67+(-K67/J68))/4,"")</f>
        <v/>
      </c>
    </row>
    <row r="69">
      <c r="A69" s="1" t="n"/>
      <c r="B69" s="45">
        <f>B68+1</f>
        <v/>
      </c>
      <c r="C69" s="45">
        <f>ROUNDUP(B69/4,0)</f>
        <v/>
      </c>
      <c r="D69" s="45">
        <f>IF(B69&lt;=Horizon*4,1,0)</f>
        <v/>
      </c>
      <c r="E69" s="45">
        <f>IF(AND(B69&gt;1,MOD(B69-1,MAX(1,Life)*4)=0),1,0)</f>
        <v/>
      </c>
      <c r="F69" s="7">
        <f>AcceptedWk</f>
        <v/>
      </c>
      <c r="G69" s="7">
        <f>RevenueWk</f>
        <v/>
      </c>
      <c r="H69" s="7">
        <f>-CollectionWk</f>
        <v/>
      </c>
      <c r="I69" s="7">
        <f>-Invest*E69</f>
        <v/>
      </c>
      <c r="J69" s="7">
        <f>G69+H69+I69</f>
        <v/>
      </c>
      <c r="K69" s="7">
        <f>K68+J69</f>
        <v/>
      </c>
      <c r="L69" s="47">
        <f>IF(AND(D69=1,K68&lt;0,K69&gt;=0,J69&gt;0),(B68+(-K68/J69))/4,"")</f>
        <v/>
      </c>
    </row>
    <row r="70">
      <c r="A70" s="1" t="n"/>
      <c r="B70" s="45">
        <f>B69+1</f>
        <v/>
      </c>
      <c r="C70" s="45">
        <f>ROUNDUP(B70/4,0)</f>
        <v/>
      </c>
      <c r="D70" s="45">
        <f>IF(B70&lt;=Horizon*4,1,0)</f>
        <v/>
      </c>
      <c r="E70" s="45">
        <f>IF(AND(B70&gt;1,MOD(B70-1,MAX(1,Life)*4)=0),1,0)</f>
        <v/>
      </c>
      <c r="F70" s="7">
        <f>AcceptedWk</f>
        <v/>
      </c>
      <c r="G70" s="7">
        <f>RevenueWk</f>
        <v/>
      </c>
      <c r="H70" s="7">
        <f>-CollectionWk</f>
        <v/>
      </c>
      <c r="I70" s="7">
        <f>-Invest*E70</f>
        <v/>
      </c>
      <c r="J70" s="7">
        <f>G70+H70+I70</f>
        <v/>
      </c>
      <c r="K70" s="7">
        <f>K69+J70</f>
        <v/>
      </c>
      <c r="L70" s="47">
        <f>IF(AND(D70=1,K69&lt;0,K70&gt;=0,J70&gt;0),(B69+(-K69/J70))/4,"")</f>
        <v/>
      </c>
    </row>
    <row r="71">
      <c r="A71" s="1" t="n"/>
      <c r="B71" s="45">
        <f>B70+1</f>
        <v/>
      </c>
      <c r="C71" s="45">
        <f>ROUNDUP(B71/4,0)</f>
        <v/>
      </c>
      <c r="D71" s="45">
        <f>IF(B71&lt;=Horizon*4,1,0)</f>
        <v/>
      </c>
      <c r="E71" s="45">
        <f>IF(AND(B71&gt;1,MOD(B71-1,MAX(1,Life)*4)=0),1,0)</f>
        <v/>
      </c>
      <c r="F71" s="7">
        <f>AcceptedWk</f>
        <v/>
      </c>
      <c r="G71" s="7">
        <f>RevenueWk</f>
        <v/>
      </c>
      <c r="H71" s="7">
        <f>-CollectionWk</f>
        <v/>
      </c>
      <c r="I71" s="7">
        <f>-Invest*E71</f>
        <v/>
      </c>
      <c r="J71" s="7">
        <f>G71+H71+I71</f>
        <v/>
      </c>
      <c r="K71" s="7">
        <f>K70+J71</f>
        <v/>
      </c>
      <c r="L71" s="47">
        <f>IF(AND(D71=1,K70&lt;0,K71&gt;=0,J71&gt;0),(B70+(-K70/J71))/4,"")</f>
        <v/>
      </c>
    </row>
    <row r="72">
      <c r="A72" s="1" t="n"/>
      <c r="B72" s="45">
        <f>B71+1</f>
        <v/>
      </c>
      <c r="C72" s="45">
        <f>ROUNDUP(B72/4,0)</f>
        <v/>
      </c>
      <c r="D72" s="45">
        <f>IF(B72&lt;=Horizon*4,1,0)</f>
        <v/>
      </c>
      <c r="E72" s="45">
        <f>IF(AND(B72&gt;1,MOD(B72-1,MAX(1,Life)*4)=0),1,0)</f>
        <v/>
      </c>
      <c r="F72" s="7">
        <f>AcceptedWk</f>
        <v/>
      </c>
      <c r="G72" s="7">
        <f>RevenueWk</f>
        <v/>
      </c>
      <c r="H72" s="7">
        <f>-CollectionWk</f>
        <v/>
      </c>
      <c r="I72" s="7">
        <f>-Invest*E72</f>
        <v/>
      </c>
      <c r="J72" s="7">
        <f>G72+H72+I72</f>
        <v/>
      </c>
      <c r="K72" s="7">
        <f>K71+J72</f>
        <v/>
      </c>
      <c r="L72" s="47">
        <f>IF(AND(D72=1,K71&lt;0,K72&gt;=0,J72&gt;0),(B71+(-K71/J72))/4,"")</f>
        <v/>
      </c>
    </row>
    <row r="73">
      <c r="A73" s="1" t="n"/>
      <c r="B73" s="45">
        <f>B72+1</f>
        <v/>
      </c>
      <c r="C73" s="45">
        <f>ROUNDUP(B73/4,0)</f>
        <v/>
      </c>
      <c r="D73" s="45">
        <f>IF(B73&lt;=Horizon*4,1,0)</f>
        <v/>
      </c>
      <c r="E73" s="45">
        <f>IF(AND(B73&gt;1,MOD(B73-1,MAX(1,Life)*4)=0),1,0)</f>
        <v/>
      </c>
      <c r="F73" s="7">
        <f>AcceptedWk</f>
        <v/>
      </c>
      <c r="G73" s="7">
        <f>RevenueWk</f>
        <v/>
      </c>
      <c r="H73" s="7">
        <f>-CollectionWk</f>
        <v/>
      </c>
      <c r="I73" s="7">
        <f>-Invest*E73</f>
        <v/>
      </c>
      <c r="J73" s="7">
        <f>G73+H73+I73</f>
        <v/>
      </c>
      <c r="K73" s="7">
        <f>K72+J73</f>
        <v/>
      </c>
      <c r="L73" s="47">
        <f>IF(AND(D73=1,K72&lt;0,K73&gt;=0,J73&gt;0),(B72+(-K72/J73))/4,"")</f>
        <v/>
      </c>
    </row>
    <row r="74">
      <c r="A74" s="1" t="n"/>
      <c r="B74" s="45">
        <f>B73+1</f>
        <v/>
      </c>
      <c r="C74" s="45">
        <f>ROUNDUP(B74/4,0)</f>
        <v/>
      </c>
      <c r="D74" s="45">
        <f>IF(B74&lt;=Horizon*4,1,0)</f>
        <v/>
      </c>
      <c r="E74" s="45">
        <f>IF(AND(B74&gt;1,MOD(B74-1,MAX(1,Life)*4)=0),1,0)</f>
        <v/>
      </c>
      <c r="F74" s="7">
        <f>AcceptedWk</f>
        <v/>
      </c>
      <c r="G74" s="7">
        <f>RevenueWk</f>
        <v/>
      </c>
      <c r="H74" s="7">
        <f>-CollectionWk</f>
        <v/>
      </c>
      <c r="I74" s="7">
        <f>-Invest*E74</f>
        <v/>
      </c>
      <c r="J74" s="7">
        <f>G74+H74+I74</f>
        <v/>
      </c>
      <c r="K74" s="7">
        <f>K73+J74</f>
        <v/>
      </c>
      <c r="L74" s="47">
        <f>IF(AND(D74=1,K73&lt;0,K74&gt;=0,J74&gt;0),(B73+(-K73/J74))/4,"")</f>
        <v/>
      </c>
    </row>
    <row r="75">
      <c r="A75" s="1" t="n"/>
      <c r="B75" s="45">
        <f>B74+1</f>
        <v/>
      </c>
      <c r="C75" s="45">
        <f>ROUNDUP(B75/4,0)</f>
        <v/>
      </c>
      <c r="D75" s="45">
        <f>IF(B75&lt;=Horizon*4,1,0)</f>
        <v/>
      </c>
      <c r="E75" s="45">
        <f>IF(AND(B75&gt;1,MOD(B75-1,MAX(1,Life)*4)=0),1,0)</f>
        <v/>
      </c>
      <c r="F75" s="7">
        <f>AcceptedWk</f>
        <v/>
      </c>
      <c r="G75" s="7">
        <f>RevenueWk</f>
        <v/>
      </c>
      <c r="H75" s="7">
        <f>-CollectionWk</f>
        <v/>
      </c>
      <c r="I75" s="7">
        <f>-Invest*E75</f>
        <v/>
      </c>
      <c r="J75" s="7">
        <f>G75+H75+I75</f>
        <v/>
      </c>
      <c r="K75" s="7">
        <f>K74+J75</f>
        <v/>
      </c>
      <c r="L75" s="47">
        <f>IF(AND(D75=1,K74&lt;0,K75&gt;=0,J75&gt;0),(B74+(-K74/J75))/4,"")</f>
        <v/>
      </c>
    </row>
    <row r="76">
      <c r="A76" s="1" t="n"/>
      <c r="B76" s="45">
        <f>B75+1</f>
        <v/>
      </c>
      <c r="C76" s="45">
        <f>ROUNDUP(B76/4,0)</f>
        <v/>
      </c>
      <c r="D76" s="45">
        <f>IF(B76&lt;=Horizon*4,1,0)</f>
        <v/>
      </c>
      <c r="E76" s="45">
        <f>IF(AND(B76&gt;1,MOD(B76-1,MAX(1,Life)*4)=0),1,0)</f>
        <v/>
      </c>
      <c r="F76" s="7">
        <f>AcceptedWk</f>
        <v/>
      </c>
      <c r="G76" s="7">
        <f>RevenueWk</f>
        <v/>
      </c>
      <c r="H76" s="7">
        <f>-CollectionWk</f>
        <v/>
      </c>
      <c r="I76" s="7">
        <f>-Invest*E76</f>
        <v/>
      </c>
      <c r="J76" s="7">
        <f>G76+H76+I76</f>
        <v/>
      </c>
      <c r="K76" s="7">
        <f>K75+J76</f>
        <v/>
      </c>
      <c r="L76" s="47">
        <f>IF(AND(D76=1,K75&lt;0,K76&gt;=0,J76&gt;0),(B75+(-K75/J76))/4,"")</f>
        <v/>
      </c>
    </row>
    <row r="77">
      <c r="A77" s="1" t="n"/>
      <c r="B77" s="45">
        <f>B76+1</f>
        <v/>
      </c>
      <c r="C77" s="45">
        <f>ROUNDUP(B77/4,0)</f>
        <v/>
      </c>
      <c r="D77" s="45">
        <f>IF(B77&lt;=Horizon*4,1,0)</f>
        <v/>
      </c>
      <c r="E77" s="45">
        <f>IF(AND(B77&gt;1,MOD(B77-1,MAX(1,Life)*4)=0),1,0)</f>
        <v/>
      </c>
      <c r="F77" s="7">
        <f>AcceptedWk</f>
        <v/>
      </c>
      <c r="G77" s="7">
        <f>RevenueWk</f>
        <v/>
      </c>
      <c r="H77" s="7">
        <f>-CollectionWk</f>
        <v/>
      </c>
      <c r="I77" s="7">
        <f>-Invest*E77</f>
        <v/>
      </c>
      <c r="J77" s="7">
        <f>G77+H77+I77</f>
        <v/>
      </c>
      <c r="K77" s="7">
        <f>K76+J77</f>
        <v/>
      </c>
      <c r="L77" s="47">
        <f>IF(AND(D77=1,K76&lt;0,K77&gt;=0,J77&gt;0),(B76+(-K76/J77))/4,"")</f>
        <v/>
      </c>
    </row>
    <row r="78">
      <c r="A78" s="1" t="n"/>
      <c r="B78" s="45">
        <f>B77+1</f>
        <v/>
      </c>
      <c r="C78" s="45">
        <f>ROUNDUP(B78/4,0)</f>
        <v/>
      </c>
      <c r="D78" s="45">
        <f>IF(B78&lt;=Horizon*4,1,0)</f>
        <v/>
      </c>
      <c r="E78" s="45">
        <f>IF(AND(B78&gt;1,MOD(B78-1,MAX(1,Life)*4)=0),1,0)</f>
        <v/>
      </c>
      <c r="F78" s="7">
        <f>AcceptedWk</f>
        <v/>
      </c>
      <c r="G78" s="7">
        <f>RevenueWk</f>
        <v/>
      </c>
      <c r="H78" s="7">
        <f>-CollectionWk</f>
        <v/>
      </c>
      <c r="I78" s="7">
        <f>-Invest*E78</f>
        <v/>
      </c>
      <c r="J78" s="7">
        <f>G78+H78+I78</f>
        <v/>
      </c>
      <c r="K78" s="7">
        <f>K77+J78</f>
        <v/>
      </c>
      <c r="L78" s="47">
        <f>IF(AND(D78=1,K77&lt;0,K78&gt;=0,J78&gt;0),(B77+(-K77/J78))/4,"")</f>
        <v/>
      </c>
    </row>
    <row r="79">
      <c r="A79" s="1" t="n"/>
      <c r="B79" s="45">
        <f>B78+1</f>
        <v/>
      </c>
      <c r="C79" s="45">
        <f>ROUNDUP(B79/4,0)</f>
        <v/>
      </c>
      <c r="D79" s="45">
        <f>IF(B79&lt;=Horizon*4,1,0)</f>
        <v/>
      </c>
      <c r="E79" s="45">
        <f>IF(AND(B79&gt;1,MOD(B79-1,MAX(1,Life)*4)=0),1,0)</f>
        <v/>
      </c>
      <c r="F79" s="7">
        <f>AcceptedWk</f>
        <v/>
      </c>
      <c r="G79" s="7">
        <f>RevenueWk</f>
        <v/>
      </c>
      <c r="H79" s="7">
        <f>-CollectionWk</f>
        <v/>
      </c>
      <c r="I79" s="7">
        <f>-Invest*E79</f>
        <v/>
      </c>
      <c r="J79" s="7">
        <f>G79+H79+I79</f>
        <v/>
      </c>
      <c r="K79" s="7">
        <f>K78+J79</f>
        <v/>
      </c>
      <c r="L79" s="47">
        <f>IF(AND(D79=1,K78&lt;0,K79&gt;=0,J79&gt;0),(B78+(-K78/J79))/4,"")</f>
        <v/>
      </c>
    </row>
    <row r="80">
      <c r="A80" s="1" t="n"/>
      <c r="B80" s="45">
        <f>B79+1</f>
        <v/>
      </c>
      <c r="C80" s="45">
        <f>ROUNDUP(B80/4,0)</f>
        <v/>
      </c>
      <c r="D80" s="45">
        <f>IF(B80&lt;=Horizon*4,1,0)</f>
        <v/>
      </c>
      <c r="E80" s="45">
        <f>IF(AND(B80&gt;1,MOD(B80-1,MAX(1,Life)*4)=0),1,0)</f>
        <v/>
      </c>
      <c r="F80" s="7">
        <f>AcceptedWk</f>
        <v/>
      </c>
      <c r="G80" s="7">
        <f>RevenueWk</f>
        <v/>
      </c>
      <c r="H80" s="7">
        <f>-CollectionWk</f>
        <v/>
      </c>
      <c r="I80" s="7">
        <f>-Invest*E80</f>
        <v/>
      </c>
      <c r="J80" s="7">
        <f>G80+H80+I80</f>
        <v/>
      </c>
      <c r="K80" s="7">
        <f>K79+J80</f>
        <v/>
      </c>
      <c r="L80" s="47">
        <f>IF(AND(D80=1,K79&lt;0,K80&gt;=0,J80&gt;0),(B79+(-K79/J80))/4,"")</f>
        <v/>
      </c>
    </row>
    <row r="81">
      <c r="A81" s="1" t="n"/>
      <c r="B81" s="45">
        <f>B80+1</f>
        <v/>
      </c>
      <c r="C81" s="45">
        <f>ROUNDUP(B81/4,0)</f>
        <v/>
      </c>
      <c r="D81" s="45">
        <f>IF(B81&lt;=Horizon*4,1,0)</f>
        <v/>
      </c>
      <c r="E81" s="45">
        <f>IF(AND(B81&gt;1,MOD(B81-1,MAX(1,Life)*4)=0),1,0)</f>
        <v/>
      </c>
      <c r="F81" s="7">
        <f>AcceptedWk</f>
        <v/>
      </c>
      <c r="G81" s="7">
        <f>RevenueWk</f>
        <v/>
      </c>
      <c r="H81" s="7">
        <f>-CollectionWk</f>
        <v/>
      </c>
      <c r="I81" s="7">
        <f>-Invest*E81</f>
        <v/>
      </c>
      <c r="J81" s="7">
        <f>G81+H81+I81</f>
        <v/>
      </c>
      <c r="K81" s="7">
        <f>K80+J81</f>
        <v/>
      </c>
      <c r="L81" s="47">
        <f>IF(AND(D81=1,K80&lt;0,K81&gt;=0,J81&gt;0),(B80+(-K80/J81))/4,"")</f>
        <v/>
      </c>
    </row>
    <row r="82">
      <c r="A82" s="1" t="n"/>
      <c r="B82" s="45">
        <f>B81+1</f>
        <v/>
      </c>
      <c r="C82" s="45">
        <f>ROUNDUP(B82/4,0)</f>
        <v/>
      </c>
      <c r="D82" s="45">
        <f>IF(B82&lt;=Horizon*4,1,0)</f>
        <v/>
      </c>
      <c r="E82" s="45">
        <f>IF(AND(B82&gt;1,MOD(B82-1,MAX(1,Life)*4)=0),1,0)</f>
        <v/>
      </c>
      <c r="F82" s="7">
        <f>AcceptedWk</f>
        <v/>
      </c>
      <c r="G82" s="7">
        <f>RevenueWk</f>
        <v/>
      </c>
      <c r="H82" s="7">
        <f>-CollectionWk</f>
        <v/>
      </c>
      <c r="I82" s="7">
        <f>-Invest*E82</f>
        <v/>
      </c>
      <c r="J82" s="7">
        <f>G82+H82+I82</f>
        <v/>
      </c>
      <c r="K82" s="7">
        <f>K81+J82</f>
        <v/>
      </c>
      <c r="L82" s="47">
        <f>IF(AND(D82=1,K81&lt;0,K82&gt;=0,J82&gt;0),(B81+(-K81/J82))/4,"")</f>
        <v/>
      </c>
    </row>
    <row r="83">
      <c r="A83" s="1" t="n"/>
      <c r="B83" s="45">
        <f>B82+1</f>
        <v/>
      </c>
      <c r="C83" s="45">
        <f>ROUNDUP(B83/4,0)</f>
        <v/>
      </c>
      <c r="D83" s="45">
        <f>IF(B83&lt;=Horizon*4,1,0)</f>
        <v/>
      </c>
      <c r="E83" s="45">
        <f>IF(AND(B83&gt;1,MOD(B83-1,MAX(1,Life)*4)=0),1,0)</f>
        <v/>
      </c>
      <c r="F83" s="7">
        <f>AcceptedWk</f>
        <v/>
      </c>
      <c r="G83" s="7">
        <f>RevenueWk</f>
        <v/>
      </c>
      <c r="H83" s="7">
        <f>-CollectionWk</f>
        <v/>
      </c>
      <c r="I83" s="7">
        <f>-Invest*E83</f>
        <v/>
      </c>
      <c r="J83" s="7">
        <f>G83+H83+I83</f>
        <v/>
      </c>
      <c r="K83" s="7">
        <f>K82+J83</f>
        <v/>
      </c>
      <c r="L83" s="47">
        <f>IF(AND(D83=1,K82&lt;0,K83&gt;=0,J83&gt;0),(B82+(-K82/J83))/4,"")</f>
        <v/>
      </c>
    </row>
    <row r="84">
      <c r="A84" s="1" t="n"/>
      <c r="B84" s="45">
        <f>B83+1</f>
        <v/>
      </c>
      <c r="C84" s="45">
        <f>ROUNDUP(B84/4,0)</f>
        <v/>
      </c>
      <c r="D84" s="45">
        <f>IF(B84&lt;=Horizon*4,1,0)</f>
        <v/>
      </c>
      <c r="E84" s="45">
        <f>IF(AND(B84&gt;1,MOD(B84-1,MAX(1,Life)*4)=0),1,0)</f>
        <v/>
      </c>
      <c r="F84" s="7">
        <f>AcceptedWk</f>
        <v/>
      </c>
      <c r="G84" s="7">
        <f>RevenueWk</f>
        <v/>
      </c>
      <c r="H84" s="7">
        <f>-CollectionWk</f>
        <v/>
      </c>
      <c r="I84" s="7">
        <f>-Invest*E84</f>
        <v/>
      </c>
      <c r="J84" s="7">
        <f>G84+H84+I84</f>
        <v/>
      </c>
      <c r="K84" s="7">
        <f>K83+J84</f>
        <v/>
      </c>
      <c r="L84" s="47">
        <f>IF(AND(D84=1,K83&lt;0,K84&gt;=0,J84&gt;0),(B83+(-K83/J84))/4,"")</f>
        <v/>
      </c>
    </row>
    <row r="85">
      <c r="A85" s="1" t="n"/>
      <c r="B85" s="45">
        <f>B84+1</f>
        <v/>
      </c>
      <c r="C85" s="45">
        <f>ROUNDUP(B85/4,0)</f>
        <v/>
      </c>
      <c r="D85" s="45">
        <f>IF(B85&lt;=Horizon*4,1,0)</f>
        <v/>
      </c>
      <c r="E85" s="45">
        <f>IF(AND(B85&gt;1,MOD(B85-1,MAX(1,Life)*4)=0),1,0)</f>
        <v/>
      </c>
      <c r="F85" s="7">
        <f>AcceptedWk</f>
        <v/>
      </c>
      <c r="G85" s="7">
        <f>RevenueWk</f>
        <v/>
      </c>
      <c r="H85" s="7">
        <f>-CollectionWk</f>
        <v/>
      </c>
      <c r="I85" s="7">
        <f>-Invest*E85</f>
        <v/>
      </c>
      <c r="J85" s="7">
        <f>G85+H85+I85</f>
        <v/>
      </c>
      <c r="K85" s="7">
        <f>K84+J85</f>
        <v/>
      </c>
      <c r="L85" s="47">
        <f>IF(AND(D85=1,K84&lt;0,K85&gt;=0,J85&gt;0),(B84+(-K84/J85))/4,"")</f>
        <v/>
      </c>
    </row>
    <row r="86">
      <c r="A86" s="1" t="n"/>
      <c r="B86" s="45">
        <f>B85+1</f>
        <v/>
      </c>
      <c r="C86" s="45">
        <f>ROUNDUP(B86/4,0)</f>
        <v/>
      </c>
      <c r="D86" s="45">
        <f>IF(B86&lt;=Horizon*4,1,0)</f>
        <v/>
      </c>
      <c r="E86" s="45">
        <f>IF(AND(B86&gt;1,MOD(B86-1,MAX(1,Life)*4)=0),1,0)</f>
        <v/>
      </c>
      <c r="F86" s="7">
        <f>AcceptedWk</f>
        <v/>
      </c>
      <c r="G86" s="7">
        <f>RevenueWk</f>
        <v/>
      </c>
      <c r="H86" s="7">
        <f>-CollectionWk</f>
        <v/>
      </c>
      <c r="I86" s="7">
        <f>-Invest*E86</f>
        <v/>
      </c>
      <c r="J86" s="7">
        <f>G86+H86+I86</f>
        <v/>
      </c>
      <c r="K86" s="7">
        <f>K85+J86</f>
        <v/>
      </c>
      <c r="L86" s="47">
        <f>IF(AND(D86=1,K85&lt;0,K86&gt;=0,J86&gt;0),(B85+(-K85/J86))/4,"")</f>
        <v/>
      </c>
    </row>
    <row r="87">
      <c r="A87" s="1" t="n"/>
      <c r="B87" s="45">
        <f>B86+1</f>
        <v/>
      </c>
      <c r="C87" s="45">
        <f>ROUNDUP(B87/4,0)</f>
        <v/>
      </c>
      <c r="D87" s="45">
        <f>IF(B87&lt;=Horizon*4,1,0)</f>
        <v/>
      </c>
      <c r="E87" s="45">
        <f>IF(AND(B87&gt;1,MOD(B87-1,MAX(1,Life)*4)=0),1,0)</f>
        <v/>
      </c>
      <c r="F87" s="7">
        <f>AcceptedWk</f>
        <v/>
      </c>
      <c r="G87" s="7">
        <f>RevenueWk</f>
        <v/>
      </c>
      <c r="H87" s="7">
        <f>-CollectionWk</f>
        <v/>
      </c>
      <c r="I87" s="7">
        <f>-Invest*E87</f>
        <v/>
      </c>
      <c r="J87" s="7">
        <f>G87+H87+I87</f>
        <v/>
      </c>
      <c r="K87" s="7">
        <f>K86+J87</f>
        <v/>
      </c>
      <c r="L87" s="47">
        <f>IF(AND(D87=1,K86&lt;0,K87&gt;=0,J87&gt;0),(B86+(-K86/J87))/4,"")</f>
        <v/>
      </c>
    </row>
    <row r="88">
      <c r="A88" s="1" t="n"/>
      <c r="B88" s="45">
        <f>B87+1</f>
        <v/>
      </c>
      <c r="C88" s="45">
        <f>ROUNDUP(B88/4,0)</f>
        <v/>
      </c>
      <c r="D88" s="45">
        <f>IF(B88&lt;=Horizon*4,1,0)</f>
        <v/>
      </c>
      <c r="E88" s="45">
        <f>IF(AND(B88&gt;1,MOD(B88-1,MAX(1,Life)*4)=0),1,0)</f>
        <v/>
      </c>
      <c r="F88" s="7">
        <f>AcceptedWk</f>
        <v/>
      </c>
      <c r="G88" s="7">
        <f>RevenueWk</f>
        <v/>
      </c>
      <c r="H88" s="7">
        <f>-CollectionWk</f>
        <v/>
      </c>
      <c r="I88" s="7">
        <f>-Invest*E88</f>
        <v/>
      </c>
      <c r="J88" s="7">
        <f>G88+H88+I88</f>
        <v/>
      </c>
      <c r="K88" s="7">
        <f>K87+J88</f>
        <v/>
      </c>
      <c r="L88" s="47">
        <f>IF(AND(D88=1,K87&lt;0,K88&gt;=0,J88&gt;0),(B87+(-K87/J88))/4,"")</f>
        <v/>
      </c>
    </row>
    <row r="89">
      <c r="A89" s="1" t="n"/>
      <c r="B89" s="45">
        <f>B88+1</f>
        <v/>
      </c>
      <c r="C89" s="45">
        <f>ROUNDUP(B89/4,0)</f>
        <v/>
      </c>
      <c r="D89" s="45">
        <f>IF(B89&lt;=Horizon*4,1,0)</f>
        <v/>
      </c>
      <c r="E89" s="45">
        <f>IF(AND(B89&gt;1,MOD(B89-1,MAX(1,Life)*4)=0),1,0)</f>
        <v/>
      </c>
      <c r="F89" s="7">
        <f>AcceptedWk</f>
        <v/>
      </c>
      <c r="G89" s="7">
        <f>RevenueWk</f>
        <v/>
      </c>
      <c r="H89" s="7">
        <f>-CollectionWk</f>
        <v/>
      </c>
      <c r="I89" s="7">
        <f>-Invest*E89</f>
        <v/>
      </c>
      <c r="J89" s="7">
        <f>G89+H89+I89</f>
        <v/>
      </c>
      <c r="K89" s="7">
        <f>K88+J89</f>
        <v/>
      </c>
      <c r="L89" s="47">
        <f>IF(AND(D89=1,K88&lt;0,K89&gt;=0,J89&gt;0),(B88+(-K88/J89))/4,"")</f>
        <v/>
      </c>
    </row>
    <row r="90">
      <c r="A90" s="1" t="n"/>
      <c r="B90" s="45">
        <f>B89+1</f>
        <v/>
      </c>
      <c r="C90" s="45">
        <f>ROUNDUP(B90/4,0)</f>
        <v/>
      </c>
      <c r="D90" s="45">
        <f>IF(B90&lt;=Horizon*4,1,0)</f>
        <v/>
      </c>
      <c r="E90" s="45">
        <f>IF(AND(B90&gt;1,MOD(B90-1,MAX(1,Life)*4)=0),1,0)</f>
        <v/>
      </c>
      <c r="F90" s="7">
        <f>AcceptedWk</f>
        <v/>
      </c>
      <c r="G90" s="7">
        <f>RevenueWk</f>
        <v/>
      </c>
      <c r="H90" s="7">
        <f>-CollectionWk</f>
        <v/>
      </c>
      <c r="I90" s="7">
        <f>-Invest*E90</f>
        <v/>
      </c>
      <c r="J90" s="7">
        <f>G90+H90+I90</f>
        <v/>
      </c>
      <c r="K90" s="7">
        <f>K89+J90</f>
        <v/>
      </c>
      <c r="L90" s="47">
        <f>IF(AND(D90=1,K89&lt;0,K90&gt;=0,J90&gt;0),(B89+(-K89/J90))/4,"")</f>
        <v/>
      </c>
    </row>
    <row r="91">
      <c r="A91" s="1" t="n"/>
      <c r="B91" s="45">
        <f>B90+1</f>
        <v/>
      </c>
      <c r="C91" s="45">
        <f>ROUNDUP(B91/4,0)</f>
        <v/>
      </c>
      <c r="D91" s="45">
        <f>IF(B91&lt;=Horizon*4,1,0)</f>
        <v/>
      </c>
      <c r="E91" s="45">
        <f>IF(AND(B91&gt;1,MOD(B91-1,MAX(1,Life)*4)=0),1,0)</f>
        <v/>
      </c>
      <c r="F91" s="7">
        <f>AcceptedWk</f>
        <v/>
      </c>
      <c r="G91" s="7">
        <f>RevenueWk</f>
        <v/>
      </c>
      <c r="H91" s="7">
        <f>-CollectionWk</f>
        <v/>
      </c>
      <c r="I91" s="7">
        <f>-Invest*E91</f>
        <v/>
      </c>
      <c r="J91" s="7">
        <f>G91+H91+I91</f>
        <v/>
      </c>
      <c r="K91" s="7">
        <f>K90+J91</f>
        <v/>
      </c>
      <c r="L91" s="47">
        <f>IF(AND(D91=1,K90&lt;0,K91&gt;=0,J91&gt;0),(B90+(-K90/J91))/4,"")</f>
        <v/>
      </c>
    </row>
    <row r="92">
      <c r="A92" s="1" t="n"/>
      <c r="B92" s="45">
        <f>B91+1</f>
        <v/>
      </c>
      <c r="C92" s="45">
        <f>ROUNDUP(B92/4,0)</f>
        <v/>
      </c>
      <c r="D92" s="45">
        <f>IF(B92&lt;=Horizon*4,1,0)</f>
        <v/>
      </c>
      <c r="E92" s="45">
        <f>IF(AND(B92&gt;1,MOD(B92-1,MAX(1,Life)*4)=0),1,0)</f>
        <v/>
      </c>
      <c r="F92" s="7">
        <f>AcceptedWk</f>
        <v/>
      </c>
      <c r="G92" s="7">
        <f>RevenueWk</f>
        <v/>
      </c>
      <c r="H92" s="7">
        <f>-CollectionWk</f>
        <v/>
      </c>
      <c r="I92" s="7">
        <f>-Invest*E92</f>
        <v/>
      </c>
      <c r="J92" s="7">
        <f>G92+H92+I92</f>
        <v/>
      </c>
      <c r="K92" s="7">
        <f>K91+J92</f>
        <v/>
      </c>
      <c r="L92" s="47">
        <f>IF(AND(D92=1,K91&lt;0,K92&gt;=0,J92&gt;0),(B91+(-K91/J92))/4,"")</f>
        <v/>
      </c>
    </row>
    <row r="93">
      <c r="A93" s="1" t="n"/>
      <c r="B93" s="45">
        <f>B92+1</f>
        <v/>
      </c>
      <c r="C93" s="45">
        <f>ROUNDUP(B93/4,0)</f>
        <v/>
      </c>
      <c r="D93" s="45">
        <f>IF(B93&lt;=Horizon*4,1,0)</f>
        <v/>
      </c>
      <c r="E93" s="45">
        <f>IF(AND(B93&gt;1,MOD(B93-1,MAX(1,Life)*4)=0),1,0)</f>
        <v/>
      </c>
      <c r="F93" s="7">
        <f>AcceptedWk</f>
        <v/>
      </c>
      <c r="G93" s="7">
        <f>RevenueWk</f>
        <v/>
      </c>
      <c r="H93" s="7">
        <f>-CollectionWk</f>
        <v/>
      </c>
      <c r="I93" s="7">
        <f>-Invest*E93</f>
        <v/>
      </c>
      <c r="J93" s="7">
        <f>G93+H93+I93</f>
        <v/>
      </c>
      <c r="K93" s="7">
        <f>K92+J93</f>
        <v/>
      </c>
      <c r="L93" s="47">
        <f>IF(AND(D93=1,K92&lt;0,K93&gt;=0,J93&gt;0),(B92+(-K92/J93))/4,"")</f>
        <v/>
      </c>
    </row>
    <row r="94">
      <c r="A94" s="1" t="n"/>
      <c r="B94" s="45">
        <f>B93+1</f>
        <v/>
      </c>
      <c r="C94" s="45">
        <f>ROUNDUP(B94/4,0)</f>
        <v/>
      </c>
      <c r="D94" s="45">
        <f>IF(B94&lt;=Horizon*4,1,0)</f>
        <v/>
      </c>
      <c r="E94" s="45">
        <f>IF(AND(B94&gt;1,MOD(B94-1,MAX(1,Life)*4)=0),1,0)</f>
        <v/>
      </c>
      <c r="F94" s="7">
        <f>AcceptedWk</f>
        <v/>
      </c>
      <c r="G94" s="7">
        <f>RevenueWk</f>
        <v/>
      </c>
      <c r="H94" s="7">
        <f>-CollectionWk</f>
        <v/>
      </c>
      <c r="I94" s="7">
        <f>-Invest*E94</f>
        <v/>
      </c>
      <c r="J94" s="7">
        <f>G94+H94+I94</f>
        <v/>
      </c>
      <c r="K94" s="7">
        <f>K93+J94</f>
        <v/>
      </c>
      <c r="L94" s="47">
        <f>IF(AND(D94=1,K93&lt;0,K94&gt;=0,J94&gt;0),(B93+(-K93/J94))/4,"")</f>
        <v/>
      </c>
    </row>
    <row r="95">
      <c r="A95" s="1" t="n"/>
      <c r="B95" s="45">
        <f>B94+1</f>
        <v/>
      </c>
      <c r="C95" s="45">
        <f>ROUNDUP(B95/4,0)</f>
        <v/>
      </c>
      <c r="D95" s="45">
        <f>IF(B95&lt;=Horizon*4,1,0)</f>
        <v/>
      </c>
      <c r="E95" s="45">
        <f>IF(AND(B95&gt;1,MOD(B95-1,MAX(1,Life)*4)=0),1,0)</f>
        <v/>
      </c>
      <c r="F95" s="7">
        <f>AcceptedWk</f>
        <v/>
      </c>
      <c r="G95" s="7">
        <f>RevenueWk</f>
        <v/>
      </c>
      <c r="H95" s="7">
        <f>-CollectionWk</f>
        <v/>
      </c>
      <c r="I95" s="7">
        <f>-Invest*E95</f>
        <v/>
      </c>
      <c r="J95" s="7">
        <f>G95+H95+I95</f>
        <v/>
      </c>
      <c r="K95" s="7">
        <f>K94+J95</f>
        <v/>
      </c>
      <c r="L95" s="47">
        <f>IF(AND(D95=1,K94&lt;0,K95&gt;=0,J95&gt;0),(B94+(-K94/J95))/4,"")</f>
        <v/>
      </c>
    </row>
    <row r="96">
      <c r="A96" s="1" t="n"/>
      <c r="B96" s="45">
        <f>B95+1</f>
        <v/>
      </c>
      <c r="C96" s="45">
        <f>ROUNDUP(B96/4,0)</f>
        <v/>
      </c>
      <c r="D96" s="45">
        <f>IF(B96&lt;=Horizon*4,1,0)</f>
        <v/>
      </c>
      <c r="E96" s="45">
        <f>IF(AND(B96&gt;1,MOD(B96-1,MAX(1,Life)*4)=0),1,0)</f>
        <v/>
      </c>
      <c r="F96" s="7">
        <f>AcceptedWk</f>
        <v/>
      </c>
      <c r="G96" s="7">
        <f>RevenueWk</f>
        <v/>
      </c>
      <c r="H96" s="7">
        <f>-CollectionWk</f>
        <v/>
      </c>
      <c r="I96" s="7">
        <f>-Invest*E96</f>
        <v/>
      </c>
      <c r="J96" s="7">
        <f>G96+H96+I96</f>
        <v/>
      </c>
      <c r="K96" s="7">
        <f>K95+J96</f>
        <v/>
      </c>
      <c r="L96" s="47">
        <f>IF(AND(D96=1,K95&lt;0,K96&gt;=0,J96&gt;0),(B95+(-K95/J96))/4,"")</f>
        <v/>
      </c>
    </row>
    <row r="97">
      <c r="A97" s="1" t="n"/>
      <c r="B97" s="45">
        <f>B96+1</f>
        <v/>
      </c>
      <c r="C97" s="45">
        <f>ROUNDUP(B97/4,0)</f>
        <v/>
      </c>
      <c r="D97" s="45">
        <f>IF(B97&lt;=Horizon*4,1,0)</f>
        <v/>
      </c>
      <c r="E97" s="45">
        <f>IF(AND(B97&gt;1,MOD(B97-1,MAX(1,Life)*4)=0),1,0)</f>
        <v/>
      </c>
      <c r="F97" s="7">
        <f>AcceptedWk</f>
        <v/>
      </c>
      <c r="G97" s="7">
        <f>RevenueWk</f>
        <v/>
      </c>
      <c r="H97" s="7">
        <f>-CollectionWk</f>
        <v/>
      </c>
      <c r="I97" s="7">
        <f>-Invest*E97</f>
        <v/>
      </c>
      <c r="J97" s="7">
        <f>G97+H97+I97</f>
        <v/>
      </c>
      <c r="K97" s="7">
        <f>K96+J97</f>
        <v/>
      </c>
      <c r="L97" s="47">
        <f>IF(AND(D97=1,K96&lt;0,K97&gt;=0,J97&gt;0),(B96+(-K96/J97))/4,"")</f>
        <v/>
      </c>
    </row>
    <row r="98">
      <c r="A98" s="1" t="n"/>
      <c r="B98" s="45">
        <f>B97+1</f>
        <v/>
      </c>
      <c r="C98" s="45">
        <f>ROUNDUP(B98/4,0)</f>
        <v/>
      </c>
      <c r="D98" s="45">
        <f>IF(B98&lt;=Horizon*4,1,0)</f>
        <v/>
      </c>
      <c r="E98" s="45">
        <f>IF(AND(B98&gt;1,MOD(B98-1,MAX(1,Life)*4)=0),1,0)</f>
        <v/>
      </c>
      <c r="F98" s="7">
        <f>AcceptedWk</f>
        <v/>
      </c>
      <c r="G98" s="7">
        <f>RevenueWk</f>
        <v/>
      </c>
      <c r="H98" s="7">
        <f>-CollectionWk</f>
        <v/>
      </c>
      <c r="I98" s="7">
        <f>-Invest*E98</f>
        <v/>
      </c>
      <c r="J98" s="7">
        <f>G98+H98+I98</f>
        <v/>
      </c>
      <c r="K98" s="7">
        <f>K97+J98</f>
        <v/>
      </c>
      <c r="L98" s="47">
        <f>IF(AND(D98=1,K97&lt;0,K98&gt;=0,J98&gt;0),(B97+(-K97/J98))/4,"")</f>
        <v/>
      </c>
    </row>
    <row r="99">
      <c r="A99" s="1" t="n"/>
      <c r="B99" s="45">
        <f>B98+1</f>
        <v/>
      </c>
      <c r="C99" s="45">
        <f>ROUNDUP(B99/4,0)</f>
        <v/>
      </c>
      <c r="D99" s="45">
        <f>IF(B99&lt;=Horizon*4,1,0)</f>
        <v/>
      </c>
      <c r="E99" s="45">
        <f>IF(AND(B99&gt;1,MOD(B99-1,MAX(1,Life)*4)=0),1,0)</f>
        <v/>
      </c>
      <c r="F99" s="7">
        <f>AcceptedWk</f>
        <v/>
      </c>
      <c r="G99" s="7">
        <f>RevenueWk</f>
        <v/>
      </c>
      <c r="H99" s="7">
        <f>-CollectionWk</f>
        <v/>
      </c>
      <c r="I99" s="7">
        <f>-Invest*E99</f>
        <v/>
      </c>
      <c r="J99" s="7">
        <f>G99+H99+I99</f>
        <v/>
      </c>
      <c r="K99" s="7">
        <f>K98+J99</f>
        <v/>
      </c>
      <c r="L99" s="47">
        <f>IF(AND(D99=1,K98&lt;0,K99&gt;=0,J99&gt;0),(B98+(-K98/J99))/4,"")</f>
        <v/>
      </c>
    </row>
    <row r="100">
      <c r="A100" s="1" t="n"/>
      <c r="B100" s="45">
        <f>B99+1</f>
        <v/>
      </c>
      <c r="C100" s="45">
        <f>ROUNDUP(B100/4,0)</f>
        <v/>
      </c>
      <c r="D100" s="45">
        <f>IF(B100&lt;=Horizon*4,1,0)</f>
        <v/>
      </c>
      <c r="E100" s="45">
        <f>IF(AND(B100&gt;1,MOD(B100-1,MAX(1,Life)*4)=0),1,0)</f>
        <v/>
      </c>
      <c r="F100" s="7">
        <f>AcceptedWk</f>
        <v/>
      </c>
      <c r="G100" s="7">
        <f>RevenueWk</f>
        <v/>
      </c>
      <c r="H100" s="7">
        <f>-CollectionWk</f>
        <v/>
      </c>
      <c r="I100" s="7">
        <f>-Invest*E100</f>
        <v/>
      </c>
      <c r="J100" s="7">
        <f>G100+H100+I100</f>
        <v/>
      </c>
      <c r="K100" s="7">
        <f>K99+J100</f>
        <v/>
      </c>
      <c r="L100" s="47">
        <f>IF(AND(D100=1,K99&lt;0,K100&gt;=0,J100&gt;0),(B99+(-K99/J100))/4,"")</f>
        <v/>
      </c>
    </row>
    <row r="101">
      <c r="A101" s="1" t="n"/>
      <c r="B101" s="45">
        <f>B100+1</f>
        <v/>
      </c>
      <c r="C101" s="45">
        <f>ROUNDUP(B101/4,0)</f>
        <v/>
      </c>
      <c r="D101" s="45">
        <f>IF(B101&lt;=Horizon*4,1,0)</f>
        <v/>
      </c>
      <c r="E101" s="45">
        <f>IF(AND(B101&gt;1,MOD(B101-1,MAX(1,Life)*4)=0),1,0)</f>
        <v/>
      </c>
      <c r="F101" s="7">
        <f>AcceptedWk</f>
        <v/>
      </c>
      <c r="G101" s="7">
        <f>RevenueWk</f>
        <v/>
      </c>
      <c r="H101" s="7">
        <f>-CollectionWk</f>
        <v/>
      </c>
      <c r="I101" s="7">
        <f>-Invest*E101</f>
        <v/>
      </c>
      <c r="J101" s="7">
        <f>G101+H101+I101</f>
        <v/>
      </c>
      <c r="K101" s="7">
        <f>K100+J101</f>
        <v/>
      </c>
      <c r="L101" s="47">
        <f>IF(AND(D101=1,K100&lt;0,K101&gt;=0,J101&gt;0),(B100+(-K100/J101))/4,"")</f>
        <v/>
      </c>
    </row>
    <row r="102">
      <c r="A102" s="1" t="n"/>
      <c r="B102" s="45">
        <f>B101+1</f>
        <v/>
      </c>
      <c r="C102" s="45">
        <f>ROUNDUP(B102/4,0)</f>
        <v/>
      </c>
      <c r="D102" s="45">
        <f>IF(B102&lt;=Horizon*4,1,0)</f>
        <v/>
      </c>
      <c r="E102" s="45">
        <f>IF(AND(B102&gt;1,MOD(B102-1,MAX(1,Life)*4)=0),1,0)</f>
        <v/>
      </c>
      <c r="F102" s="7">
        <f>AcceptedWk</f>
        <v/>
      </c>
      <c r="G102" s="7">
        <f>RevenueWk</f>
        <v/>
      </c>
      <c r="H102" s="7">
        <f>-CollectionWk</f>
        <v/>
      </c>
      <c r="I102" s="7">
        <f>-Invest*E102</f>
        <v/>
      </c>
      <c r="J102" s="7">
        <f>G102+H102+I102</f>
        <v/>
      </c>
      <c r="K102" s="7">
        <f>K101+J102</f>
        <v/>
      </c>
      <c r="L102" s="47">
        <f>IF(AND(D102=1,K101&lt;0,K102&gt;=0,J102&gt;0),(B101+(-K101/J102))/4,"")</f>
        <v/>
      </c>
    </row>
    <row r="103">
      <c r="A103" s="1" t="n"/>
      <c r="B103" s="45">
        <f>B102+1</f>
        <v/>
      </c>
      <c r="C103" s="45">
        <f>ROUNDUP(B103/4,0)</f>
        <v/>
      </c>
      <c r="D103" s="45">
        <f>IF(B103&lt;=Horizon*4,1,0)</f>
        <v/>
      </c>
      <c r="E103" s="45">
        <f>IF(AND(B103&gt;1,MOD(B103-1,MAX(1,Life)*4)=0),1,0)</f>
        <v/>
      </c>
      <c r="F103" s="7">
        <f>AcceptedWk</f>
        <v/>
      </c>
      <c r="G103" s="7">
        <f>RevenueWk</f>
        <v/>
      </c>
      <c r="H103" s="7">
        <f>-CollectionWk</f>
        <v/>
      </c>
      <c r="I103" s="7">
        <f>-Invest*E103</f>
        <v/>
      </c>
      <c r="J103" s="7">
        <f>G103+H103+I103</f>
        <v/>
      </c>
      <c r="K103" s="7">
        <f>K102+J103</f>
        <v/>
      </c>
      <c r="L103" s="47">
        <f>IF(AND(D103=1,K102&lt;0,K103&gt;=0,J103&gt;0),(B102+(-K102/J103))/4,"")</f>
        <v/>
      </c>
    </row>
    <row r="104">
      <c r="A104" s="1" t="n"/>
      <c r="B104" s="45">
        <f>B103+1</f>
        <v/>
      </c>
      <c r="C104" s="45">
        <f>ROUNDUP(B104/4,0)</f>
        <v/>
      </c>
      <c r="D104" s="45">
        <f>IF(B104&lt;=Horizon*4,1,0)</f>
        <v/>
      </c>
      <c r="E104" s="45">
        <f>IF(AND(B104&gt;1,MOD(B104-1,MAX(1,Life)*4)=0),1,0)</f>
        <v/>
      </c>
      <c r="F104" s="7">
        <f>AcceptedWk</f>
        <v/>
      </c>
      <c r="G104" s="7">
        <f>RevenueWk</f>
        <v/>
      </c>
      <c r="H104" s="7">
        <f>-CollectionWk</f>
        <v/>
      </c>
      <c r="I104" s="7">
        <f>-Invest*E104</f>
        <v/>
      </c>
      <c r="J104" s="7">
        <f>G104+H104+I104</f>
        <v/>
      </c>
      <c r="K104" s="7">
        <f>K103+J104</f>
        <v/>
      </c>
      <c r="L104" s="47">
        <f>IF(AND(D104=1,K103&lt;0,K104&gt;=0,J104&gt;0),(B103+(-K103/J104))/4,"")</f>
        <v/>
      </c>
    </row>
    <row r="105">
      <c r="A105" s="1" t="n"/>
      <c r="B105" s="45">
        <f>B104+1</f>
        <v/>
      </c>
      <c r="C105" s="45">
        <f>ROUNDUP(B105/4,0)</f>
        <v/>
      </c>
      <c r="D105" s="45">
        <f>IF(B105&lt;=Horizon*4,1,0)</f>
        <v/>
      </c>
      <c r="E105" s="45">
        <f>IF(AND(B105&gt;1,MOD(B105-1,MAX(1,Life)*4)=0),1,0)</f>
        <v/>
      </c>
      <c r="F105" s="7">
        <f>AcceptedWk</f>
        <v/>
      </c>
      <c r="G105" s="7">
        <f>RevenueWk</f>
        <v/>
      </c>
      <c r="H105" s="7">
        <f>-CollectionWk</f>
        <v/>
      </c>
      <c r="I105" s="7">
        <f>-Invest*E105</f>
        <v/>
      </c>
      <c r="J105" s="7">
        <f>G105+H105+I105</f>
        <v/>
      </c>
      <c r="K105" s="7">
        <f>K104+J105</f>
        <v/>
      </c>
      <c r="L105" s="47">
        <f>IF(AND(D105=1,K104&lt;0,K105&gt;=0,J105&gt;0),(B104+(-K104/J105))/4,"")</f>
        <v/>
      </c>
    </row>
    <row r="106">
      <c r="A106" s="1" t="n"/>
      <c r="B106" s="45">
        <f>B105+1</f>
        <v/>
      </c>
      <c r="C106" s="45">
        <f>ROUNDUP(B106/4,0)</f>
        <v/>
      </c>
      <c r="D106" s="45">
        <f>IF(B106&lt;=Horizon*4,1,0)</f>
        <v/>
      </c>
      <c r="E106" s="45">
        <f>IF(AND(B106&gt;1,MOD(B106-1,MAX(1,Life)*4)=0),1,0)</f>
        <v/>
      </c>
      <c r="F106" s="7">
        <f>AcceptedWk</f>
        <v/>
      </c>
      <c r="G106" s="7">
        <f>RevenueWk</f>
        <v/>
      </c>
      <c r="H106" s="7">
        <f>-CollectionWk</f>
        <v/>
      </c>
      <c r="I106" s="7">
        <f>-Invest*E106</f>
        <v/>
      </c>
      <c r="J106" s="7">
        <f>G106+H106+I106</f>
        <v/>
      </c>
      <c r="K106" s="7">
        <f>K105+J106</f>
        <v/>
      </c>
      <c r="L106" s="47">
        <f>IF(AND(D106=1,K105&lt;0,K106&gt;=0,J106&gt;0),(B105+(-K105/J106))/4,"")</f>
        <v/>
      </c>
    </row>
    <row r="107">
      <c r="A107" s="1" t="n"/>
      <c r="B107" s="45">
        <f>B106+1</f>
        <v/>
      </c>
      <c r="C107" s="45">
        <f>ROUNDUP(B107/4,0)</f>
        <v/>
      </c>
      <c r="D107" s="45">
        <f>IF(B107&lt;=Horizon*4,1,0)</f>
        <v/>
      </c>
      <c r="E107" s="45">
        <f>IF(AND(B107&gt;1,MOD(B107-1,MAX(1,Life)*4)=0),1,0)</f>
        <v/>
      </c>
      <c r="F107" s="7">
        <f>AcceptedWk</f>
        <v/>
      </c>
      <c r="G107" s="7">
        <f>RevenueWk</f>
        <v/>
      </c>
      <c r="H107" s="7">
        <f>-CollectionWk</f>
        <v/>
      </c>
      <c r="I107" s="7">
        <f>-Invest*E107</f>
        <v/>
      </c>
      <c r="J107" s="7">
        <f>G107+H107+I107</f>
        <v/>
      </c>
      <c r="K107" s="7">
        <f>K106+J107</f>
        <v/>
      </c>
      <c r="L107" s="47">
        <f>IF(AND(D107=1,K106&lt;0,K107&gt;=0,J107&gt;0),(B106+(-K106/J107))/4,"")</f>
        <v/>
      </c>
    </row>
    <row r="108">
      <c r="A108" s="1" t="n"/>
      <c r="B108" s="45">
        <f>B107+1</f>
        <v/>
      </c>
      <c r="C108" s="45">
        <f>ROUNDUP(B108/4,0)</f>
        <v/>
      </c>
      <c r="D108" s="45">
        <f>IF(B108&lt;=Horizon*4,1,0)</f>
        <v/>
      </c>
      <c r="E108" s="45">
        <f>IF(AND(B108&gt;1,MOD(B108-1,MAX(1,Life)*4)=0),1,0)</f>
        <v/>
      </c>
      <c r="F108" s="7">
        <f>AcceptedWk</f>
        <v/>
      </c>
      <c r="G108" s="7">
        <f>RevenueWk</f>
        <v/>
      </c>
      <c r="H108" s="7">
        <f>-CollectionWk</f>
        <v/>
      </c>
      <c r="I108" s="7">
        <f>-Invest*E108</f>
        <v/>
      </c>
      <c r="J108" s="7">
        <f>G108+H108+I108</f>
        <v/>
      </c>
      <c r="K108" s="7">
        <f>K107+J108</f>
        <v/>
      </c>
      <c r="L108" s="47">
        <f>IF(AND(D108=1,K107&lt;0,K108&gt;=0,J108&gt;0),(B107+(-K107/J108))/4,"")</f>
        <v/>
      </c>
    </row>
    <row r="109">
      <c r="A109" s="1" t="n"/>
      <c r="B109" s="45">
        <f>B108+1</f>
        <v/>
      </c>
      <c r="C109" s="45">
        <f>ROUNDUP(B109/4,0)</f>
        <v/>
      </c>
      <c r="D109" s="45">
        <f>IF(B109&lt;=Horizon*4,1,0)</f>
        <v/>
      </c>
      <c r="E109" s="45">
        <f>IF(AND(B109&gt;1,MOD(B109-1,MAX(1,Life)*4)=0),1,0)</f>
        <v/>
      </c>
      <c r="F109" s="7">
        <f>AcceptedWk</f>
        <v/>
      </c>
      <c r="G109" s="7">
        <f>RevenueWk</f>
        <v/>
      </c>
      <c r="H109" s="7">
        <f>-CollectionWk</f>
        <v/>
      </c>
      <c r="I109" s="7">
        <f>-Invest*E109</f>
        <v/>
      </c>
      <c r="J109" s="7">
        <f>G109+H109+I109</f>
        <v/>
      </c>
      <c r="K109" s="7">
        <f>K108+J109</f>
        <v/>
      </c>
      <c r="L109" s="47">
        <f>IF(AND(D109=1,K108&lt;0,K109&gt;=0,J109&gt;0),(B108+(-K108/J109))/4,"")</f>
        <v/>
      </c>
    </row>
    <row r="110">
      <c r="A110" s="1" t="n"/>
      <c r="B110" s="45">
        <f>B109+1</f>
        <v/>
      </c>
      <c r="C110" s="45">
        <f>ROUNDUP(B110/4,0)</f>
        <v/>
      </c>
      <c r="D110" s="45">
        <f>IF(B110&lt;=Horizon*4,1,0)</f>
        <v/>
      </c>
      <c r="E110" s="45">
        <f>IF(AND(B110&gt;1,MOD(B110-1,MAX(1,Life)*4)=0),1,0)</f>
        <v/>
      </c>
      <c r="F110" s="7">
        <f>AcceptedWk</f>
        <v/>
      </c>
      <c r="G110" s="7">
        <f>RevenueWk</f>
        <v/>
      </c>
      <c r="H110" s="7">
        <f>-CollectionWk</f>
        <v/>
      </c>
      <c r="I110" s="7">
        <f>-Invest*E110</f>
        <v/>
      </c>
      <c r="J110" s="7">
        <f>G110+H110+I110</f>
        <v/>
      </c>
      <c r="K110" s="7">
        <f>K109+J110</f>
        <v/>
      </c>
      <c r="L110" s="47">
        <f>IF(AND(D110=1,K109&lt;0,K110&gt;=0,J110&gt;0),(B109+(-K109/J110))/4,"")</f>
        <v/>
      </c>
    </row>
    <row r="111">
      <c r="A111" s="1" t="n"/>
      <c r="B111" s="45">
        <f>B110+1</f>
        <v/>
      </c>
      <c r="C111" s="45">
        <f>ROUNDUP(B111/4,0)</f>
        <v/>
      </c>
      <c r="D111" s="45">
        <f>IF(B111&lt;=Horizon*4,1,0)</f>
        <v/>
      </c>
      <c r="E111" s="45">
        <f>IF(AND(B111&gt;1,MOD(B111-1,MAX(1,Life)*4)=0),1,0)</f>
        <v/>
      </c>
      <c r="F111" s="7">
        <f>AcceptedWk</f>
        <v/>
      </c>
      <c r="G111" s="7">
        <f>RevenueWk</f>
        <v/>
      </c>
      <c r="H111" s="7">
        <f>-CollectionWk</f>
        <v/>
      </c>
      <c r="I111" s="7">
        <f>-Invest*E111</f>
        <v/>
      </c>
      <c r="J111" s="7">
        <f>G111+H111+I111</f>
        <v/>
      </c>
      <c r="K111" s="7">
        <f>K110+J111</f>
        <v/>
      </c>
      <c r="L111" s="47">
        <f>IF(AND(D111=1,K110&lt;0,K111&gt;=0,J111&gt;0),(B110+(-K110/J111))/4,"")</f>
        <v/>
      </c>
    </row>
    <row r="112">
      <c r="A112" s="1" t="n"/>
      <c r="B112" s="45">
        <f>B111+1</f>
        <v/>
      </c>
      <c r="C112" s="45">
        <f>ROUNDUP(B112/4,0)</f>
        <v/>
      </c>
      <c r="D112" s="45">
        <f>IF(B112&lt;=Horizon*4,1,0)</f>
        <v/>
      </c>
      <c r="E112" s="45">
        <f>IF(AND(B112&gt;1,MOD(B112-1,MAX(1,Life)*4)=0),1,0)</f>
        <v/>
      </c>
      <c r="F112" s="7">
        <f>AcceptedWk</f>
        <v/>
      </c>
      <c r="G112" s="7">
        <f>RevenueWk</f>
        <v/>
      </c>
      <c r="H112" s="7">
        <f>-CollectionWk</f>
        <v/>
      </c>
      <c r="I112" s="7">
        <f>-Invest*E112</f>
        <v/>
      </c>
      <c r="J112" s="7">
        <f>G112+H112+I112</f>
        <v/>
      </c>
      <c r="K112" s="7">
        <f>K111+J112</f>
        <v/>
      </c>
      <c r="L112" s="47">
        <f>IF(AND(D112=1,K111&lt;0,K112&gt;=0,J112&gt;0),(B111+(-K111/J112))/4,"")</f>
        <v/>
      </c>
    </row>
    <row r="113">
      <c r="A113" s="1" t="n"/>
      <c r="B113" s="45">
        <f>B112+1</f>
        <v/>
      </c>
      <c r="C113" s="45">
        <f>ROUNDUP(B113/4,0)</f>
        <v/>
      </c>
      <c r="D113" s="45">
        <f>IF(B113&lt;=Horizon*4,1,0)</f>
        <v/>
      </c>
      <c r="E113" s="45">
        <f>IF(AND(B113&gt;1,MOD(B113-1,MAX(1,Life)*4)=0),1,0)</f>
        <v/>
      </c>
      <c r="F113" s="7">
        <f>AcceptedWk</f>
        <v/>
      </c>
      <c r="G113" s="7">
        <f>RevenueWk</f>
        <v/>
      </c>
      <c r="H113" s="7">
        <f>-CollectionWk</f>
        <v/>
      </c>
      <c r="I113" s="7">
        <f>-Invest*E113</f>
        <v/>
      </c>
      <c r="J113" s="7">
        <f>G113+H113+I113</f>
        <v/>
      </c>
      <c r="K113" s="7">
        <f>K112+J113</f>
        <v/>
      </c>
      <c r="L113" s="47">
        <f>IF(AND(D113=1,K112&lt;0,K113&gt;=0,J113&gt;0),(B112+(-K112/J113))/4,"")</f>
        <v/>
      </c>
    </row>
    <row r="114">
      <c r="A114" s="1" t="n"/>
      <c r="B114" s="45">
        <f>B113+1</f>
        <v/>
      </c>
      <c r="C114" s="45">
        <f>ROUNDUP(B114/4,0)</f>
        <v/>
      </c>
      <c r="D114" s="45">
        <f>IF(B114&lt;=Horizon*4,1,0)</f>
        <v/>
      </c>
      <c r="E114" s="45">
        <f>IF(AND(B114&gt;1,MOD(B114-1,MAX(1,Life)*4)=0),1,0)</f>
        <v/>
      </c>
      <c r="F114" s="7">
        <f>AcceptedWk</f>
        <v/>
      </c>
      <c r="G114" s="7">
        <f>RevenueWk</f>
        <v/>
      </c>
      <c r="H114" s="7">
        <f>-CollectionWk</f>
        <v/>
      </c>
      <c r="I114" s="7">
        <f>-Invest*E114</f>
        <v/>
      </c>
      <c r="J114" s="7">
        <f>G114+H114+I114</f>
        <v/>
      </c>
      <c r="K114" s="7">
        <f>K113+J114</f>
        <v/>
      </c>
      <c r="L114" s="47">
        <f>IF(AND(D114=1,K113&lt;0,K114&gt;=0,J114&gt;0),(B113+(-K113/J114))/4,"")</f>
        <v/>
      </c>
    </row>
    <row r="115">
      <c r="A115" s="1" t="n"/>
      <c r="B115" s="45">
        <f>B114+1</f>
        <v/>
      </c>
      <c r="C115" s="45">
        <f>ROUNDUP(B115/4,0)</f>
        <v/>
      </c>
      <c r="D115" s="45">
        <f>IF(B115&lt;=Horizon*4,1,0)</f>
        <v/>
      </c>
      <c r="E115" s="45">
        <f>IF(AND(B115&gt;1,MOD(B115-1,MAX(1,Life)*4)=0),1,0)</f>
        <v/>
      </c>
      <c r="F115" s="7">
        <f>AcceptedWk</f>
        <v/>
      </c>
      <c r="G115" s="7">
        <f>RevenueWk</f>
        <v/>
      </c>
      <c r="H115" s="7">
        <f>-CollectionWk</f>
        <v/>
      </c>
      <c r="I115" s="7">
        <f>-Invest*E115</f>
        <v/>
      </c>
      <c r="J115" s="7">
        <f>G115+H115+I115</f>
        <v/>
      </c>
      <c r="K115" s="7">
        <f>K114+J115</f>
        <v/>
      </c>
      <c r="L115" s="47">
        <f>IF(AND(D115=1,K114&lt;0,K115&gt;=0,J115&gt;0),(B114+(-K114/J115))/4,"")</f>
        <v/>
      </c>
    </row>
    <row r="116">
      <c r="A116" s="1" t="n"/>
      <c r="B116" s="45">
        <f>B115+1</f>
        <v/>
      </c>
      <c r="C116" s="45">
        <f>ROUNDUP(B116/4,0)</f>
        <v/>
      </c>
      <c r="D116" s="45">
        <f>IF(B116&lt;=Horizon*4,1,0)</f>
        <v/>
      </c>
      <c r="E116" s="45">
        <f>IF(AND(B116&gt;1,MOD(B116-1,MAX(1,Life)*4)=0),1,0)</f>
        <v/>
      </c>
      <c r="F116" s="7">
        <f>AcceptedWk</f>
        <v/>
      </c>
      <c r="G116" s="7">
        <f>RevenueWk</f>
        <v/>
      </c>
      <c r="H116" s="7">
        <f>-CollectionWk</f>
        <v/>
      </c>
      <c r="I116" s="7">
        <f>-Invest*E116</f>
        <v/>
      </c>
      <c r="J116" s="7">
        <f>G116+H116+I116</f>
        <v/>
      </c>
      <c r="K116" s="7">
        <f>K115+J116</f>
        <v/>
      </c>
      <c r="L116" s="47">
        <f>IF(AND(D116=1,K115&lt;0,K116&gt;=0,J116&gt;0),(B115+(-K115/J116))/4,"")</f>
        <v/>
      </c>
    </row>
    <row r="117">
      <c r="A117" s="1" t="n"/>
      <c r="B117" s="45">
        <f>B116+1</f>
        <v/>
      </c>
      <c r="C117" s="45">
        <f>ROUNDUP(B117/4,0)</f>
        <v/>
      </c>
      <c r="D117" s="45">
        <f>IF(B117&lt;=Horizon*4,1,0)</f>
        <v/>
      </c>
      <c r="E117" s="45">
        <f>IF(AND(B117&gt;1,MOD(B117-1,MAX(1,Life)*4)=0),1,0)</f>
        <v/>
      </c>
      <c r="F117" s="7">
        <f>AcceptedWk</f>
        <v/>
      </c>
      <c r="G117" s="7">
        <f>RevenueWk</f>
        <v/>
      </c>
      <c r="H117" s="7">
        <f>-CollectionWk</f>
        <v/>
      </c>
      <c r="I117" s="7">
        <f>-Invest*E117</f>
        <v/>
      </c>
      <c r="J117" s="7">
        <f>G117+H117+I117</f>
        <v/>
      </c>
      <c r="K117" s="7">
        <f>K116+J117</f>
        <v/>
      </c>
      <c r="L117" s="47">
        <f>IF(AND(D117=1,K116&lt;0,K117&gt;=0,J117&gt;0),(B116+(-K116/J117))/4,"")</f>
        <v/>
      </c>
    </row>
    <row r="118">
      <c r="A118" s="1" t="n"/>
      <c r="B118" s="45">
        <f>B117+1</f>
        <v/>
      </c>
      <c r="C118" s="45">
        <f>ROUNDUP(B118/4,0)</f>
        <v/>
      </c>
      <c r="D118" s="45">
        <f>IF(B118&lt;=Horizon*4,1,0)</f>
        <v/>
      </c>
      <c r="E118" s="45">
        <f>IF(AND(B118&gt;1,MOD(B118-1,MAX(1,Life)*4)=0),1,0)</f>
        <v/>
      </c>
      <c r="F118" s="7">
        <f>AcceptedWk</f>
        <v/>
      </c>
      <c r="G118" s="7">
        <f>RevenueWk</f>
        <v/>
      </c>
      <c r="H118" s="7">
        <f>-CollectionWk</f>
        <v/>
      </c>
      <c r="I118" s="7">
        <f>-Invest*E118</f>
        <v/>
      </c>
      <c r="J118" s="7">
        <f>G118+H118+I118</f>
        <v/>
      </c>
      <c r="K118" s="7">
        <f>K117+J118</f>
        <v/>
      </c>
      <c r="L118" s="47">
        <f>IF(AND(D118=1,K117&lt;0,K118&gt;=0,J118&gt;0),(B117+(-K117/J118))/4,"")</f>
        <v/>
      </c>
    </row>
    <row r="119">
      <c r="A119" s="1" t="n"/>
      <c r="B119" s="45">
        <f>B118+1</f>
        <v/>
      </c>
      <c r="C119" s="45">
        <f>ROUNDUP(B119/4,0)</f>
        <v/>
      </c>
      <c r="D119" s="45">
        <f>IF(B119&lt;=Horizon*4,1,0)</f>
        <v/>
      </c>
      <c r="E119" s="45">
        <f>IF(AND(B119&gt;1,MOD(B119-1,MAX(1,Life)*4)=0),1,0)</f>
        <v/>
      </c>
      <c r="F119" s="7">
        <f>AcceptedWk</f>
        <v/>
      </c>
      <c r="G119" s="7">
        <f>RevenueWk</f>
        <v/>
      </c>
      <c r="H119" s="7">
        <f>-CollectionWk</f>
        <v/>
      </c>
      <c r="I119" s="7">
        <f>-Invest*E119</f>
        <v/>
      </c>
      <c r="J119" s="7">
        <f>G119+H119+I119</f>
        <v/>
      </c>
      <c r="K119" s="7">
        <f>K118+J119</f>
        <v/>
      </c>
      <c r="L119" s="47">
        <f>IF(AND(D119=1,K118&lt;0,K119&gt;=0,J119&gt;0),(B118+(-K118/J119))/4,"")</f>
        <v/>
      </c>
    </row>
    <row r="120">
      <c r="A120" s="1" t="n"/>
      <c r="B120" s="45">
        <f>B119+1</f>
        <v/>
      </c>
      <c r="C120" s="45">
        <f>ROUNDUP(B120/4,0)</f>
        <v/>
      </c>
      <c r="D120" s="45">
        <f>IF(B120&lt;=Horizon*4,1,0)</f>
        <v/>
      </c>
      <c r="E120" s="45">
        <f>IF(AND(B120&gt;1,MOD(B120-1,MAX(1,Life)*4)=0),1,0)</f>
        <v/>
      </c>
      <c r="F120" s="7">
        <f>AcceptedWk</f>
        <v/>
      </c>
      <c r="G120" s="7">
        <f>RevenueWk</f>
        <v/>
      </c>
      <c r="H120" s="7">
        <f>-CollectionWk</f>
        <v/>
      </c>
      <c r="I120" s="7">
        <f>-Invest*E120</f>
        <v/>
      </c>
      <c r="J120" s="7">
        <f>G120+H120+I120</f>
        <v/>
      </c>
      <c r="K120" s="7">
        <f>K119+J120</f>
        <v/>
      </c>
      <c r="L120" s="47">
        <f>IF(AND(D120=1,K119&lt;0,K120&gt;=0,J120&gt;0),(B119+(-K119/J120))/4,"")</f>
        <v/>
      </c>
    </row>
    <row r="121">
      <c r="A121" s="1" t="n"/>
      <c r="B121" s="45">
        <f>B120+1</f>
        <v/>
      </c>
      <c r="C121" s="45">
        <f>ROUNDUP(B121/4,0)</f>
        <v/>
      </c>
      <c r="D121" s="45">
        <f>IF(B121&lt;=Horizon*4,1,0)</f>
        <v/>
      </c>
      <c r="E121" s="45">
        <f>IF(AND(B121&gt;1,MOD(B121-1,MAX(1,Life)*4)=0),1,0)</f>
        <v/>
      </c>
      <c r="F121" s="7">
        <f>AcceptedWk</f>
        <v/>
      </c>
      <c r="G121" s="7">
        <f>RevenueWk</f>
        <v/>
      </c>
      <c r="H121" s="7">
        <f>-CollectionWk</f>
        <v/>
      </c>
      <c r="I121" s="7">
        <f>-Invest*E121</f>
        <v/>
      </c>
      <c r="J121" s="7">
        <f>G121+H121+I121</f>
        <v/>
      </c>
      <c r="K121" s="7">
        <f>K120+J121</f>
        <v/>
      </c>
      <c r="L121" s="47">
        <f>IF(AND(D121=1,K120&lt;0,K121&gt;=0,J121&gt;0),(B120+(-K120/J121))/4,"")</f>
        <v/>
      </c>
    </row>
    <row r="122">
      <c r="A122" s="1" t="n"/>
      <c r="B122" s="45">
        <f>B121+1</f>
        <v/>
      </c>
      <c r="C122" s="45">
        <f>ROUNDUP(B122/4,0)</f>
        <v/>
      </c>
      <c r="D122" s="45">
        <f>IF(B122&lt;=Horizon*4,1,0)</f>
        <v/>
      </c>
      <c r="E122" s="45">
        <f>IF(AND(B122&gt;1,MOD(B122-1,MAX(1,Life)*4)=0),1,0)</f>
        <v/>
      </c>
      <c r="F122" s="7">
        <f>AcceptedWk</f>
        <v/>
      </c>
      <c r="G122" s="7">
        <f>RevenueWk</f>
        <v/>
      </c>
      <c r="H122" s="7">
        <f>-CollectionWk</f>
        <v/>
      </c>
      <c r="I122" s="7">
        <f>-Invest*E122</f>
        <v/>
      </c>
      <c r="J122" s="7">
        <f>G122+H122+I122</f>
        <v/>
      </c>
      <c r="K122" s="7">
        <f>K121+J122</f>
        <v/>
      </c>
      <c r="L122" s="47">
        <f>IF(AND(D122=1,K121&lt;0,K122&gt;=0,J122&gt;0),(B121+(-K121/J122))/4,"")</f>
        <v/>
      </c>
    </row>
    <row r="123">
      <c r="A123" s="1" t="n"/>
      <c r="B123" s="45">
        <f>B122+1</f>
        <v/>
      </c>
      <c r="C123" s="45">
        <f>ROUNDUP(B123/4,0)</f>
        <v/>
      </c>
      <c r="D123" s="45">
        <f>IF(B123&lt;=Horizon*4,1,0)</f>
        <v/>
      </c>
      <c r="E123" s="45">
        <f>IF(AND(B123&gt;1,MOD(B123-1,MAX(1,Life)*4)=0),1,0)</f>
        <v/>
      </c>
      <c r="F123" s="7">
        <f>AcceptedWk</f>
        <v/>
      </c>
      <c r="G123" s="7">
        <f>RevenueWk</f>
        <v/>
      </c>
      <c r="H123" s="7">
        <f>-CollectionWk</f>
        <v/>
      </c>
      <c r="I123" s="7">
        <f>-Invest*E123</f>
        <v/>
      </c>
      <c r="J123" s="7">
        <f>G123+H123+I123</f>
        <v/>
      </c>
      <c r="K123" s="7">
        <f>K122+J123</f>
        <v/>
      </c>
      <c r="L123" s="47">
        <f>IF(AND(D123=1,K122&lt;0,K123&gt;=0,J123&gt;0),(B122+(-K122/J123))/4,"")</f>
        <v/>
      </c>
    </row>
    <row r="124">
      <c r="A124" s="1" t="n"/>
      <c r="B124" s="45">
        <f>B123+1</f>
        <v/>
      </c>
      <c r="C124" s="45">
        <f>ROUNDUP(B124/4,0)</f>
        <v/>
      </c>
      <c r="D124" s="45">
        <f>IF(B124&lt;=Horizon*4,1,0)</f>
        <v/>
      </c>
      <c r="E124" s="45">
        <f>IF(AND(B124&gt;1,MOD(B124-1,MAX(1,Life)*4)=0),1,0)</f>
        <v/>
      </c>
      <c r="F124" s="7">
        <f>AcceptedWk</f>
        <v/>
      </c>
      <c r="G124" s="7">
        <f>RevenueWk</f>
        <v/>
      </c>
      <c r="H124" s="7">
        <f>-CollectionWk</f>
        <v/>
      </c>
      <c r="I124" s="7">
        <f>-Invest*E124</f>
        <v/>
      </c>
      <c r="J124" s="7">
        <f>G124+H124+I124</f>
        <v/>
      </c>
      <c r="K124" s="7">
        <f>K123+J124</f>
        <v/>
      </c>
      <c r="L124" s="47">
        <f>IF(AND(D124=1,K123&lt;0,K124&gt;=0,J124&gt;0),(B123+(-K123/J124))/4,"")</f>
        <v/>
      </c>
    </row>
    <row r="125">
      <c r="A125" s="1" t="n"/>
      <c r="B125" s="45">
        <f>B124+1</f>
        <v/>
      </c>
      <c r="C125" s="45">
        <f>ROUNDUP(B125/4,0)</f>
        <v/>
      </c>
      <c r="D125" s="45">
        <f>IF(B125&lt;=Horizon*4,1,0)</f>
        <v/>
      </c>
      <c r="E125" s="45">
        <f>IF(AND(B125&gt;1,MOD(B125-1,MAX(1,Life)*4)=0),1,0)</f>
        <v/>
      </c>
      <c r="F125" s="7">
        <f>AcceptedWk</f>
        <v/>
      </c>
      <c r="G125" s="7">
        <f>RevenueWk</f>
        <v/>
      </c>
      <c r="H125" s="7">
        <f>-CollectionWk</f>
        <v/>
      </c>
      <c r="I125" s="7">
        <f>-Invest*E125</f>
        <v/>
      </c>
      <c r="J125" s="7">
        <f>G125+H125+I125</f>
        <v/>
      </c>
      <c r="K125" s="7">
        <f>K124+J125</f>
        <v/>
      </c>
      <c r="L125" s="47">
        <f>IF(AND(D125=1,K124&lt;0,K125&gt;=0,J125&gt;0),(B124+(-K124/J125))/4,"")</f>
        <v/>
      </c>
    </row>
    <row r="126">
      <c r="A126" s="1" t="n"/>
      <c r="B126" s="45">
        <f>B125+1</f>
        <v/>
      </c>
      <c r="C126" s="45">
        <f>ROUNDUP(B126/4,0)</f>
        <v/>
      </c>
      <c r="D126" s="45">
        <f>IF(B126&lt;=Horizon*4,1,0)</f>
        <v/>
      </c>
      <c r="E126" s="45">
        <f>IF(AND(B126&gt;1,MOD(B126-1,MAX(1,Life)*4)=0),1,0)</f>
        <v/>
      </c>
      <c r="F126" s="7">
        <f>AcceptedWk</f>
        <v/>
      </c>
      <c r="G126" s="7">
        <f>RevenueWk</f>
        <v/>
      </c>
      <c r="H126" s="7">
        <f>-CollectionWk</f>
        <v/>
      </c>
      <c r="I126" s="7">
        <f>-Invest*E126</f>
        <v/>
      </c>
      <c r="J126" s="7">
        <f>G126+H126+I126</f>
        <v/>
      </c>
      <c r="K126" s="7">
        <f>K125+J126</f>
        <v/>
      </c>
      <c r="L126" s="47">
        <f>IF(AND(D126=1,K125&lt;0,K126&gt;=0,J126&gt;0),(B125+(-K125/J126))/4,"")</f>
        <v/>
      </c>
    </row>
    <row r="127">
      <c r="A127" s="1" t="n"/>
      <c r="B127" s="45">
        <f>B126+1</f>
        <v/>
      </c>
      <c r="C127" s="45">
        <f>ROUNDUP(B127/4,0)</f>
        <v/>
      </c>
      <c r="D127" s="45">
        <f>IF(B127&lt;=Horizon*4,1,0)</f>
        <v/>
      </c>
      <c r="E127" s="45">
        <f>IF(AND(B127&gt;1,MOD(B127-1,MAX(1,Life)*4)=0),1,0)</f>
        <v/>
      </c>
      <c r="F127" s="7">
        <f>AcceptedWk</f>
        <v/>
      </c>
      <c r="G127" s="7">
        <f>RevenueWk</f>
        <v/>
      </c>
      <c r="H127" s="7">
        <f>-CollectionWk</f>
        <v/>
      </c>
      <c r="I127" s="7">
        <f>-Invest*E127</f>
        <v/>
      </c>
      <c r="J127" s="7">
        <f>G127+H127+I127</f>
        <v/>
      </c>
      <c r="K127" s="7">
        <f>K126+J127</f>
        <v/>
      </c>
      <c r="L127" s="47">
        <f>IF(AND(D127=1,K126&lt;0,K127&gt;=0,J127&gt;0),(B126+(-K126/J127))/4,"")</f>
        <v/>
      </c>
    </row>
    <row r="128">
      <c r="A128" s="1" t="n"/>
      <c r="B128" s="45">
        <f>B127+1</f>
        <v/>
      </c>
      <c r="C128" s="45">
        <f>ROUNDUP(B128/4,0)</f>
        <v/>
      </c>
      <c r="D128" s="45">
        <f>IF(B128&lt;=Horizon*4,1,0)</f>
        <v/>
      </c>
      <c r="E128" s="45">
        <f>IF(AND(B128&gt;1,MOD(B128-1,MAX(1,Life)*4)=0),1,0)</f>
        <v/>
      </c>
      <c r="F128" s="7">
        <f>AcceptedWk</f>
        <v/>
      </c>
      <c r="G128" s="7">
        <f>RevenueWk</f>
        <v/>
      </c>
      <c r="H128" s="7">
        <f>-CollectionWk</f>
        <v/>
      </c>
      <c r="I128" s="7">
        <f>-Invest*E128</f>
        <v/>
      </c>
      <c r="J128" s="7">
        <f>G128+H128+I128</f>
        <v/>
      </c>
      <c r="K128" s="7">
        <f>K127+J128</f>
        <v/>
      </c>
      <c r="L128" s="47">
        <f>IF(AND(D128=1,K127&lt;0,K128&gt;=0,J128&gt;0),(B127+(-K127/J128))/4,"")</f>
        <v/>
      </c>
    </row>
    <row r="129">
      <c r="A129" s="1" t="n"/>
      <c r="B129" s="45">
        <f>B128+1</f>
        <v/>
      </c>
      <c r="C129" s="45">
        <f>ROUNDUP(B129/4,0)</f>
        <v/>
      </c>
      <c r="D129" s="45">
        <f>IF(B129&lt;=Horizon*4,1,0)</f>
        <v/>
      </c>
      <c r="E129" s="45">
        <f>IF(AND(B129&gt;1,MOD(B129-1,MAX(1,Life)*4)=0),1,0)</f>
        <v/>
      </c>
      <c r="F129" s="7">
        <f>AcceptedWk</f>
        <v/>
      </c>
      <c r="G129" s="7">
        <f>RevenueWk</f>
        <v/>
      </c>
      <c r="H129" s="7">
        <f>-CollectionWk</f>
        <v/>
      </c>
      <c r="I129" s="7">
        <f>-Invest*E129</f>
        <v/>
      </c>
      <c r="J129" s="7">
        <f>G129+H129+I129</f>
        <v/>
      </c>
      <c r="K129" s="7">
        <f>K128+J129</f>
        <v/>
      </c>
      <c r="L129" s="47">
        <f>IF(AND(D129=1,K128&lt;0,K129&gt;=0,J129&gt;0),(B128+(-K128/J129))/4,"")</f>
        <v/>
      </c>
    </row>
    <row r="130">
      <c r="A130" s="1" t="n"/>
      <c r="B130" s="45">
        <f>B129+1</f>
        <v/>
      </c>
      <c r="C130" s="45">
        <f>ROUNDUP(B130/4,0)</f>
        <v/>
      </c>
      <c r="D130" s="45">
        <f>IF(B130&lt;=Horizon*4,1,0)</f>
        <v/>
      </c>
      <c r="E130" s="45">
        <f>IF(AND(B130&gt;1,MOD(B130-1,MAX(1,Life)*4)=0),1,0)</f>
        <v/>
      </c>
      <c r="F130" s="7">
        <f>AcceptedWk</f>
        <v/>
      </c>
      <c r="G130" s="7">
        <f>RevenueWk</f>
        <v/>
      </c>
      <c r="H130" s="7">
        <f>-CollectionWk</f>
        <v/>
      </c>
      <c r="I130" s="7">
        <f>-Invest*E130</f>
        <v/>
      </c>
      <c r="J130" s="7">
        <f>G130+H130+I130</f>
        <v/>
      </c>
      <c r="K130" s="7">
        <f>K129+J130</f>
        <v/>
      </c>
      <c r="L130" s="47">
        <f>IF(AND(D130=1,K129&lt;0,K130&gt;=0,J130&gt;0),(B129+(-K129/J130))/4,"")</f>
        <v/>
      </c>
    </row>
    <row r="131">
      <c r="A131" s="1" t="n"/>
      <c r="B131" s="45">
        <f>B130+1</f>
        <v/>
      </c>
      <c r="C131" s="45">
        <f>ROUNDUP(B131/4,0)</f>
        <v/>
      </c>
      <c r="D131" s="45">
        <f>IF(B131&lt;=Horizon*4,1,0)</f>
        <v/>
      </c>
      <c r="E131" s="45">
        <f>IF(AND(B131&gt;1,MOD(B131-1,MAX(1,Life)*4)=0),1,0)</f>
        <v/>
      </c>
      <c r="F131" s="7">
        <f>AcceptedWk</f>
        <v/>
      </c>
      <c r="G131" s="7">
        <f>RevenueWk</f>
        <v/>
      </c>
      <c r="H131" s="7">
        <f>-CollectionWk</f>
        <v/>
      </c>
      <c r="I131" s="7">
        <f>-Invest*E131</f>
        <v/>
      </c>
      <c r="J131" s="7">
        <f>G131+H131+I131</f>
        <v/>
      </c>
      <c r="K131" s="7">
        <f>K130+J131</f>
        <v/>
      </c>
      <c r="L131" s="47">
        <f>IF(AND(D131=1,K130&lt;0,K131&gt;=0,J131&gt;0),(B130+(-K130/J131))/4,"")</f>
        <v/>
      </c>
    </row>
    <row r="132">
      <c r="A132" s="1" t="n"/>
      <c r="B132" s="45">
        <f>B131+1</f>
        <v/>
      </c>
      <c r="C132" s="45">
        <f>ROUNDUP(B132/4,0)</f>
        <v/>
      </c>
      <c r="D132" s="45">
        <f>IF(B132&lt;=Horizon*4,1,0)</f>
        <v/>
      </c>
      <c r="E132" s="45">
        <f>IF(AND(B132&gt;1,MOD(B132-1,MAX(1,Life)*4)=0),1,0)</f>
        <v/>
      </c>
      <c r="F132" s="7">
        <f>AcceptedWk</f>
        <v/>
      </c>
      <c r="G132" s="7">
        <f>RevenueWk</f>
        <v/>
      </c>
      <c r="H132" s="7">
        <f>-CollectionWk</f>
        <v/>
      </c>
      <c r="I132" s="7">
        <f>-Invest*E132</f>
        <v/>
      </c>
      <c r="J132" s="7">
        <f>G132+H132+I132</f>
        <v/>
      </c>
      <c r="K132" s="7">
        <f>K131+J132</f>
        <v/>
      </c>
      <c r="L132" s="47">
        <f>IF(AND(D132=1,K131&lt;0,K132&gt;=0,J132&gt;0),(B131+(-K131/J132))/4,"")</f>
        <v/>
      </c>
    </row>
    <row r="133">
      <c r="A133" s="1" t="n"/>
      <c r="B133" s="45">
        <f>B132+1</f>
        <v/>
      </c>
      <c r="C133" s="45">
        <f>ROUNDUP(B133/4,0)</f>
        <v/>
      </c>
      <c r="D133" s="45">
        <f>IF(B133&lt;=Horizon*4,1,0)</f>
        <v/>
      </c>
      <c r="E133" s="45">
        <f>IF(AND(B133&gt;1,MOD(B133-1,MAX(1,Life)*4)=0),1,0)</f>
        <v/>
      </c>
      <c r="F133" s="7">
        <f>AcceptedWk</f>
        <v/>
      </c>
      <c r="G133" s="7">
        <f>RevenueWk</f>
        <v/>
      </c>
      <c r="H133" s="7">
        <f>-CollectionWk</f>
        <v/>
      </c>
      <c r="I133" s="7">
        <f>-Invest*E133</f>
        <v/>
      </c>
      <c r="J133" s="7">
        <f>G133+H133+I133</f>
        <v/>
      </c>
      <c r="K133" s="7">
        <f>K132+J133</f>
        <v/>
      </c>
      <c r="L133" s="47">
        <f>IF(AND(D133=1,K132&lt;0,K133&gt;=0,J133&gt;0),(B132+(-K132/J133))/4,"")</f>
        <v/>
      </c>
    </row>
    <row r="134">
      <c r="A134" s="1" t="n"/>
      <c r="B134" s="45">
        <f>B133+1</f>
        <v/>
      </c>
      <c r="C134" s="45">
        <f>ROUNDUP(B134/4,0)</f>
        <v/>
      </c>
      <c r="D134" s="45">
        <f>IF(B134&lt;=Horizon*4,1,0)</f>
        <v/>
      </c>
      <c r="E134" s="45">
        <f>IF(AND(B134&gt;1,MOD(B134-1,MAX(1,Life)*4)=0),1,0)</f>
        <v/>
      </c>
      <c r="F134" s="7">
        <f>AcceptedWk</f>
        <v/>
      </c>
      <c r="G134" s="7">
        <f>RevenueWk</f>
        <v/>
      </c>
      <c r="H134" s="7">
        <f>-CollectionWk</f>
        <v/>
      </c>
      <c r="I134" s="7">
        <f>-Invest*E134</f>
        <v/>
      </c>
      <c r="J134" s="7">
        <f>G134+H134+I134</f>
        <v/>
      </c>
      <c r="K134" s="7">
        <f>K133+J134</f>
        <v/>
      </c>
      <c r="L134" s="47">
        <f>IF(AND(D134=1,K133&lt;0,K134&gt;=0,J134&gt;0),(B133+(-K133/J134))/4,"")</f>
        <v/>
      </c>
    </row>
    <row r="135">
      <c r="A135" s="1" t="n"/>
      <c r="B135" s="45">
        <f>B134+1</f>
        <v/>
      </c>
      <c r="C135" s="45">
        <f>ROUNDUP(B135/4,0)</f>
        <v/>
      </c>
      <c r="D135" s="45">
        <f>IF(B135&lt;=Horizon*4,1,0)</f>
        <v/>
      </c>
      <c r="E135" s="45">
        <f>IF(AND(B135&gt;1,MOD(B135-1,MAX(1,Life)*4)=0),1,0)</f>
        <v/>
      </c>
      <c r="F135" s="7">
        <f>AcceptedWk</f>
        <v/>
      </c>
      <c r="G135" s="7">
        <f>RevenueWk</f>
        <v/>
      </c>
      <c r="H135" s="7">
        <f>-CollectionWk</f>
        <v/>
      </c>
      <c r="I135" s="7">
        <f>-Invest*E135</f>
        <v/>
      </c>
      <c r="J135" s="7">
        <f>G135+H135+I135</f>
        <v/>
      </c>
      <c r="K135" s="7">
        <f>K134+J135</f>
        <v/>
      </c>
      <c r="L135" s="47">
        <f>IF(AND(D135=1,K134&lt;0,K135&gt;=0,J135&gt;0),(B134+(-K134/J135))/4,"")</f>
        <v/>
      </c>
    </row>
    <row r="136">
      <c r="A136" s="1" t="n"/>
      <c r="B136" s="45">
        <f>B135+1</f>
        <v/>
      </c>
      <c r="C136" s="45">
        <f>ROUNDUP(B136/4,0)</f>
        <v/>
      </c>
      <c r="D136" s="45">
        <f>IF(B136&lt;=Horizon*4,1,0)</f>
        <v/>
      </c>
      <c r="E136" s="45">
        <f>IF(AND(B136&gt;1,MOD(B136-1,MAX(1,Life)*4)=0),1,0)</f>
        <v/>
      </c>
      <c r="F136" s="7">
        <f>AcceptedWk</f>
        <v/>
      </c>
      <c r="G136" s="7">
        <f>RevenueWk</f>
        <v/>
      </c>
      <c r="H136" s="7">
        <f>-CollectionWk</f>
        <v/>
      </c>
      <c r="I136" s="7">
        <f>-Invest*E136</f>
        <v/>
      </c>
      <c r="J136" s="7">
        <f>G136+H136+I136</f>
        <v/>
      </c>
      <c r="K136" s="7">
        <f>K135+J136</f>
        <v/>
      </c>
      <c r="L136" s="47">
        <f>IF(AND(D136=1,K135&lt;0,K136&gt;=0,J136&gt;0),(B135+(-K135/J136))/4,"")</f>
        <v/>
      </c>
    </row>
    <row r="137">
      <c r="A137" s="1" t="n"/>
      <c r="B137" s="45">
        <f>B136+1</f>
        <v/>
      </c>
      <c r="C137" s="45">
        <f>ROUNDUP(B137/4,0)</f>
        <v/>
      </c>
      <c r="D137" s="45">
        <f>IF(B137&lt;=Horizon*4,1,0)</f>
        <v/>
      </c>
      <c r="E137" s="45">
        <f>IF(AND(B137&gt;1,MOD(B137-1,MAX(1,Life)*4)=0),1,0)</f>
        <v/>
      </c>
      <c r="F137" s="7">
        <f>AcceptedWk</f>
        <v/>
      </c>
      <c r="G137" s="7">
        <f>RevenueWk</f>
        <v/>
      </c>
      <c r="H137" s="7">
        <f>-CollectionWk</f>
        <v/>
      </c>
      <c r="I137" s="7">
        <f>-Invest*E137</f>
        <v/>
      </c>
      <c r="J137" s="7">
        <f>G137+H137+I137</f>
        <v/>
      </c>
      <c r="K137" s="7">
        <f>K136+J137</f>
        <v/>
      </c>
      <c r="L137" s="47">
        <f>IF(AND(D137=1,K136&lt;0,K137&gt;=0,J137&gt;0),(B136+(-K136/J137))/4,"")</f>
        <v/>
      </c>
    </row>
    <row r="138">
      <c r="A138" s="1" t="n"/>
      <c r="B138" s="45">
        <f>B137+1</f>
        <v/>
      </c>
      <c r="C138" s="45">
        <f>ROUNDUP(B138/4,0)</f>
        <v/>
      </c>
      <c r="D138" s="45">
        <f>IF(B138&lt;=Horizon*4,1,0)</f>
        <v/>
      </c>
      <c r="E138" s="45">
        <f>IF(AND(B138&gt;1,MOD(B138-1,MAX(1,Life)*4)=0),1,0)</f>
        <v/>
      </c>
      <c r="F138" s="7">
        <f>AcceptedWk</f>
        <v/>
      </c>
      <c r="G138" s="7">
        <f>RevenueWk</f>
        <v/>
      </c>
      <c r="H138" s="7">
        <f>-CollectionWk</f>
        <v/>
      </c>
      <c r="I138" s="7">
        <f>-Invest*E138</f>
        <v/>
      </c>
      <c r="J138" s="7">
        <f>G138+H138+I138</f>
        <v/>
      </c>
      <c r="K138" s="7">
        <f>K137+J138</f>
        <v/>
      </c>
      <c r="L138" s="47">
        <f>IF(AND(D138=1,K137&lt;0,K138&gt;=0,J138&gt;0),(B137+(-K137/J138))/4,"")</f>
        <v/>
      </c>
    </row>
    <row r="139">
      <c r="A139" s="1" t="n"/>
      <c r="B139" s="45">
        <f>B138+1</f>
        <v/>
      </c>
      <c r="C139" s="45">
        <f>ROUNDUP(B139/4,0)</f>
        <v/>
      </c>
      <c r="D139" s="45">
        <f>IF(B139&lt;=Horizon*4,1,0)</f>
        <v/>
      </c>
      <c r="E139" s="45">
        <f>IF(AND(B139&gt;1,MOD(B139-1,MAX(1,Life)*4)=0),1,0)</f>
        <v/>
      </c>
      <c r="F139" s="7">
        <f>AcceptedWk</f>
        <v/>
      </c>
      <c r="G139" s="7">
        <f>RevenueWk</f>
        <v/>
      </c>
      <c r="H139" s="7">
        <f>-CollectionWk</f>
        <v/>
      </c>
      <c r="I139" s="7">
        <f>-Invest*E139</f>
        <v/>
      </c>
      <c r="J139" s="7">
        <f>G139+H139+I139</f>
        <v/>
      </c>
      <c r="K139" s="7">
        <f>K138+J139</f>
        <v/>
      </c>
      <c r="L139" s="47">
        <f>IF(AND(D139=1,K138&lt;0,K139&gt;=0,J139&gt;0),(B138+(-K138/J139))/4,"")</f>
        <v/>
      </c>
    </row>
    <row r="140">
      <c r="A140" s="1" t="n"/>
      <c r="B140" s="45">
        <f>B139+1</f>
        <v/>
      </c>
      <c r="C140" s="45">
        <f>ROUNDUP(B140/4,0)</f>
        <v/>
      </c>
      <c r="D140" s="45">
        <f>IF(B140&lt;=Horizon*4,1,0)</f>
        <v/>
      </c>
      <c r="E140" s="45">
        <f>IF(AND(B140&gt;1,MOD(B140-1,MAX(1,Life)*4)=0),1,0)</f>
        <v/>
      </c>
      <c r="F140" s="7">
        <f>AcceptedWk</f>
        <v/>
      </c>
      <c r="G140" s="7">
        <f>RevenueWk</f>
        <v/>
      </c>
      <c r="H140" s="7">
        <f>-CollectionWk</f>
        <v/>
      </c>
      <c r="I140" s="7">
        <f>-Invest*E140</f>
        <v/>
      </c>
      <c r="J140" s="7">
        <f>G140+H140+I140</f>
        <v/>
      </c>
      <c r="K140" s="7">
        <f>K139+J140</f>
        <v/>
      </c>
      <c r="L140" s="47">
        <f>IF(AND(D140=1,K139&lt;0,K140&gt;=0,J140&gt;0),(B139+(-K139/J140))/4,"")</f>
        <v/>
      </c>
    </row>
    <row r="141">
      <c r="A141" s="1" t="n"/>
      <c r="B141" s="45">
        <f>B140+1</f>
        <v/>
      </c>
      <c r="C141" s="45">
        <f>ROUNDUP(B141/4,0)</f>
        <v/>
      </c>
      <c r="D141" s="45">
        <f>IF(B141&lt;=Horizon*4,1,0)</f>
        <v/>
      </c>
      <c r="E141" s="45">
        <f>IF(AND(B141&gt;1,MOD(B141-1,MAX(1,Life)*4)=0),1,0)</f>
        <v/>
      </c>
      <c r="F141" s="7">
        <f>AcceptedWk</f>
        <v/>
      </c>
      <c r="G141" s="7">
        <f>RevenueWk</f>
        <v/>
      </c>
      <c r="H141" s="7">
        <f>-CollectionWk</f>
        <v/>
      </c>
      <c r="I141" s="7">
        <f>-Invest*E141</f>
        <v/>
      </c>
      <c r="J141" s="7">
        <f>G141+H141+I141</f>
        <v/>
      </c>
      <c r="K141" s="7">
        <f>K140+J141</f>
        <v/>
      </c>
      <c r="L141" s="47">
        <f>IF(AND(D141=1,K140&lt;0,K141&gt;=0,J141&gt;0),(B140+(-K140/J141))/4,"")</f>
        <v/>
      </c>
    </row>
    <row r="142">
      <c r="A142" s="1" t="n"/>
      <c r="B142" s="45">
        <f>B141+1</f>
        <v/>
      </c>
      <c r="C142" s="45">
        <f>ROUNDUP(B142/4,0)</f>
        <v/>
      </c>
      <c r="D142" s="45">
        <f>IF(B142&lt;=Horizon*4,1,0)</f>
        <v/>
      </c>
      <c r="E142" s="45">
        <f>IF(AND(B142&gt;1,MOD(B142-1,MAX(1,Life)*4)=0),1,0)</f>
        <v/>
      </c>
      <c r="F142" s="7">
        <f>AcceptedWk</f>
        <v/>
      </c>
      <c r="G142" s="7">
        <f>RevenueWk</f>
        <v/>
      </c>
      <c r="H142" s="7">
        <f>-CollectionWk</f>
        <v/>
      </c>
      <c r="I142" s="7">
        <f>-Invest*E142</f>
        <v/>
      </c>
      <c r="J142" s="7">
        <f>G142+H142+I142</f>
        <v/>
      </c>
      <c r="K142" s="7">
        <f>K141+J142</f>
        <v/>
      </c>
      <c r="L142" s="47">
        <f>IF(AND(D142=1,K141&lt;0,K142&gt;=0,J142&gt;0),(B141+(-K141/J142))/4,"")</f>
        <v/>
      </c>
    </row>
    <row r="143">
      <c r="A143" s="1" t="n"/>
      <c r="B143" s="45">
        <f>B142+1</f>
        <v/>
      </c>
      <c r="C143" s="45">
        <f>ROUNDUP(B143/4,0)</f>
        <v/>
      </c>
      <c r="D143" s="45">
        <f>IF(B143&lt;=Horizon*4,1,0)</f>
        <v/>
      </c>
      <c r="E143" s="45">
        <f>IF(AND(B143&gt;1,MOD(B143-1,MAX(1,Life)*4)=0),1,0)</f>
        <v/>
      </c>
      <c r="F143" s="7">
        <f>AcceptedWk</f>
        <v/>
      </c>
      <c r="G143" s="7">
        <f>RevenueWk</f>
        <v/>
      </c>
      <c r="H143" s="7">
        <f>-CollectionWk</f>
        <v/>
      </c>
      <c r="I143" s="7">
        <f>-Invest*E143</f>
        <v/>
      </c>
      <c r="J143" s="7">
        <f>G143+H143+I143</f>
        <v/>
      </c>
      <c r="K143" s="7">
        <f>K142+J143</f>
        <v/>
      </c>
      <c r="L143" s="47">
        <f>IF(AND(D143=1,K142&lt;0,K143&gt;=0,J143&gt;0),(B142+(-K142/J143))/4,"")</f>
        <v/>
      </c>
    </row>
    <row r="144">
      <c r="A144" s="1" t="n"/>
      <c r="B144" s="45">
        <f>B143+1</f>
        <v/>
      </c>
      <c r="C144" s="45">
        <f>ROUNDUP(B144/4,0)</f>
        <v/>
      </c>
      <c r="D144" s="45">
        <f>IF(B144&lt;=Horizon*4,1,0)</f>
        <v/>
      </c>
      <c r="E144" s="45">
        <f>IF(AND(B144&gt;1,MOD(B144-1,MAX(1,Life)*4)=0),1,0)</f>
        <v/>
      </c>
      <c r="F144" s="7">
        <f>AcceptedWk</f>
        <v/>
      </c>
      <c r="G144" s="7">
        <f>RevenueWk</f>
        <v/>
      </c>
      <c r="H144" s="7">
        <f>-CollectionWk</f>
        <v/>
      </c>
      <c r="I144" s="7">
        <f>-Invest*E144</f>
        <v/>
      </c>
      <c r="J144" s="7">
        <f>G144+H144+I144</f>
        <v/>
      </c>
      <c r="K144" s="7">
        <f>K143+J144</f>
        <v/>
      </c>
      <c r="L144" s="47">
        <f>IF(AND(D144=1,K143&lt;0,K144&gt;=0,J144&gt;0),(B143+(-K143/J144))/4,"")</f>
        <v/>
      </c>
    </row>
    <row r="145">
      <c r="A145" s="1" t="n"/>
      <c r="B145" s="45">
        <f>B144+1</f>
        <v/>
      </c>
      <c r="C145" s="45">
        <f>ROUNDUP(B145/4,0)</f>
        <v/>
      </c>
      <c r="D145" s="45">
        <f>IF(B145&lt;=Horizon*4,1,0)</f>
        <v/>
      </c>
      <c r="E145" s="45">
        <f>IF(AND(B145&gt;1,MOD(B145-1,MAX(1,Life)*4)=0),1,0)</f>
        <v/>
      </c>
      <c r="F145" s="7">
        <f>AcceptedWk</f>
        <v/>
      </c>
      <c r="G145" s="7">
        <f>RevenueWk</f>
        <v/>
      </c>
      <c r="H145" s="7">
        <f>-CollectionWk</f>
        <v/>
      </c>
      <c r="I145" s="7">
        <f>-Invest*E145</f>
        <v/>
      </c>
      <c r="J145" s="7">
        <f>G145+H145+I145</f>
        <v/>
      </c>
      <c r="K145" s="7">
        <f>K144+J145</f>
        <v/>
      </c>
      <c r="L145" s="47">
        <f>IF(AND(D145=1,K144&lt;0,K145&gt;=0,J145&gt;0),(B144+(-K144/J145))/4,"")</f>
        <v/>
      </c>
    </row>
    <row r="146">
      <c r="A146" s="1" t="n"/>
      <c r="B146" s="45">
        <f>B145+1</f>
        <v/>
      </c>
      <c r="C146" s="45">
        <f>ROUNDUP(B146/4,0)</f>
        <v/>
      </c>
      <c r="D146" s="45">
        <f>IF(B146&lt;=Horizon*4,1,0)</f>
        <v/>
      </c>
      <c r="E146" s="45">
        <f>IF(AND(B146&gt;1,MOD(B146-1,MAX(1,Life)*4)=0),1,0)</f>
        <v/>
      </c>
      <c r="F146" s="7">
        <f>AcceptedWk</f>
        <v/>
      </c>
      <c r="G146" s="7">
        <f>RevenueWk</f>
        <v/>
      </c>
      <c r="H146" s="7">
        <f>-CollectionWk</f>
        <v/>
      </c>
      <c r="I146" s="7">
        <f>-Invest*E146</f>
        <v/>
      </c>
      <c r="J146" s="7">
        <f>G146+H146+I146</f>
        <v/>
      </c>
      <c r="K146" s="7">
        <f>K145+J146</f>
        <v/>
      </c>
      <c r="L146" s="47">
        <f>IF(AND(D146=1,K145&lt;0,K146&gt;=0,J146&gt;0),(B145+(-K145/J146))/4,"")</f>
        <v/>
      </c>
    </row>
    <row r="147">
      <c r="A147" s="1" t="n"/>
      <c r="B147" s="45">
        <f>B146+1</f>
        <v/>
      </c>
      <c r="C147" s="45">
        <f>ROUNDUP(B147/4,0)</f>
        <v/>
      </c>
      <c r="D147" s="45">
        <f>IF(B147&lt;=Horizon*4,1,0)</f>
        <v/>
      </c>
      <c r="E147" s="45">
        <f>IF(AND(B147&gt;1,MOD(B147-1,MAX(1,Life)*4)=0),1,0)</f>
        <v/>
      </c>
      <c r="F147" s="7">
        <f>AcceptedWk</f>
        <v/>
      </c>
      <c r="G147" s="7">
        <f>RevenueWk</f>
        <v/>
      </c>
      <c r="H147" s="7">
        <f>-CollectionWk</f>
        <v/>
      </c>
      <c r="I147" s="7">
        <f>-Invest*E147</f>
        <v/>
      </c>
      <c r="J147" s="7">
        <f>G147+H147+I147</f>
        <v/>
      </c>
      <c r="K147" s="7">
        <f>K146+J147</f>
        <v/>
      </c>
      <c r="L147" s="47">
        <f>IF(AND(D147=1,K146&lt;0,K147&gt;=0,J147&gt;0),(B146+(-K146/J147))/4,"")</f>
        <v/>
      </c>
    </row>
    <row r="148">
      <c r="A148" s="1" t="n"/>
      <c r="B148" s="45">
        <f>B147+1</f>
        <v/>
      </c>
      <c r="C148" s="45">
        <f>ROUNDUP(B148/4,0)</f>
        <v/>
      </c>
      <c r="D148" s="45">
        <f>IF(B148&lt;=Horizon*4,1,0)</f>
        <v/>
      </c>
      <c r="E148" s="45">
        <f>IF(AND(B148&gt;1,MOD(B148-1,MAX(1,Life)*4)=0),1,0)</f>
        <v/>
      </c>
      <c r="F148" s="7">
        <f>AcceptedWk</f>
        <v/>
      </c>
      <c r="G148" s="7">
        <f>RevenueWk</f>
        <v/>
      </c>
      <c r="H148" s="7">
        <f>-CollectionWk</f>
        <v/>
      </c>
      <c r="I148" s="7">
        <f>-Invest*E148</f>
        <v/>
      </c>
      <c r="J148" s="7">
        <f>G148+H148+I148</f>
        <v/>
      </c>
      <c r="K148" s="7">
        <f>K147+J148</f>
        <v/>
      </c>
      <c r="L148" s="47">
        <f>IF(AND(D148=1,K147&lt;0,K148&gt;=0,J148&gt;0),(B147+(-K147/J148))/4,"")</f>
        <v/>
      </c>
    </row>
    <row r="149">
      <c r="A149" s="1" t="n"/>
      <c r="B149" s="45">
        <f>B148+1</f>
        <v/>
      </c>
      <c r="C149" s="45">
        <f>ROUNDUP(B149/4,0)</f>
        <v/>
      </c>
      <c r="D149" s="45">
        <f>IF(B149&lt;=Horizon*4,1,0)</f>
        <v/>
      </c>
      <c r="E149" s="45">
        <f>IF(AND(B149&gt;1,MOD(B149-1,MAX(1,Life)*4)=0),1,0)</f>
        <v/>
      </c>
      <c r="F149" s="7">
        <f>AcceptedWk</f>
        <v/>
      </c>
      <c r="G149" s="7">
        <f>RevenueWk</f>
        <v/>
      </c>
      <c r="H149" s="7">
        <f>-CollectionWk</f>
        <v/>
      </c>
      <c r="I149" s="7">
        <f>-Invest*E149</f>
        <v/>
      </c>
      <c r="J149" s="7">
        <f>G149+H149+I149</f>
        <v/>
      </c>
      <c r="K149" s="7">
        <f>K148+J149</f>
        <v/>
      </c>
      <c r="L149" s="47">
        <f>IF(AND(D149=1,K148&lt;0,K149&gt;=0,J149&gt;0),(B148+(-K148/J149))/4,"")</f>
        <v/>
      </c>
    </row>
    <row r="150">
      <c r="A150" s="1" t="n"/>
      <c r="B150" s="45">
        <f>B149+1</f>
        <v/>
      </c>
      <c r="C150" s="45">
        <f>ROUNDUP(B150/4,0)</f>
        <v/>
      </c>
      <c r="D150" s="45">
        <f>IF(B150&lt;=Horizon*4,1,0)</f>
        <v/>
      </c>
      <c r="E150" s="45">
        <f>IF(AND(B150&gt;1,MOD(B150-1,MAX(1,Life)*4)=0),1,0)</f>
        <v/>
      </c>
      <c r="F150" s="7">
        <f>AcceptedWk</f>
        <v/>
      </c>
      <c r="G150" s="7">
        <f>RevenueWk</f>
        <v/>
      </c>
      <c r="H150" s="7">
        <f>-CollectionWk</f>
        <v/>
      </c>
      <c r="I150" s="7">
        <f>-Invest*E150</f>
        <v/>
      </c>
      <c r="J150" s="7">
        <f>G150+H150+I150</f>
        <v/>
      </c>
      <c r="K150" s="7">
        <f>K149+J150</f>
        <v/>
      </c>
      <c r="L150" s="47">
        <f>IF(AND(D150=1,K149&lt;0,K150&gt;=0,J150&gt;0),(B149+(-K149/J150))/4,"")</f>
        <v/>
      </c>
    </row>
    <row r="151">
      <c r="A151" s="1" t="n"/>
      <c r="B151" s="45">
        <f>B150+1</f>
        <v/>
      </c>
      <c r="C151" s="45">
        <f>ROUNDUP(B151/4,0)</f>
        <v/>
      </c>
      <c r="D151" s="45">
        <f>IF(B151&lt;=Horizon*4,1,0)</f>
        <v/>
      </c>
      <c r="E151" s="45">
        <f>IF(AND(B151&gt;1,MOD(B151-1,MAX(1,Life)*4)=0),1,0)</f>
        <v/>
      </c>
      <c r="F151" s="7">
        <f>AcceptedWk</f>
        <v/>
      </c>
      <c r="G151" s="7">
        <f>RevenueWk</f>
        <v/>
      </c>
      <c r="H151" s="7">
        <f>-CollectionWk</f>
        <v/>
      </c>
      <c r="I151" s="7">
        <f>-Invest*E151</f>
        <v/>
      </c>
      <c r="J151" s="7">
        <f>G151+H151+I151</f>
        <v/>
      </c>
      <c r="K151" s="7">
        <f>K150+J151</f>
        <v/>
      </c>
      <c r="L151" s="47">
        <f>IF(AND(D151=1,K150&lt;0,K151&gt;=0,J151&gt;0),(B150+(-K150/J151))/4,"")</f>
        <v/>
      </c>
    </row>
    <row r="152">
      <c r="A152" s="1" t="n"/>
      <c r="B152" s="45">
        <f>B151+1</f>
        <v/>
      </c>
      <c r="C152" s="45">
        <f>ROUNDUP(B152/4,0)</f>
        <v/>
      </c>
      <c r="D152" s="45">
        <f>IF(B152&lt;=Horizon*4,1,0)</f>
        <v/>
      </c>
      <c r="E152" s="45">
        <f>IF(AND(B152&gt;1,MOD(B152-1,MAX(1,Life)*4)=0),1,0)</f>
        <v/>
      </c>
      <c r="F152" s="7">
        <f>AcceptedWk</f>
        <v/>
      </c>
      <c r="G152" s="7">
        <f>RevenueWk</f>
        <v/>
      </c>
      <c r="H152" s="7">
        <f>-CollectionWk</f>
        <v/>
      </c>
      <c r="I152" s="7">
        <f>-Invest*E152</f>
        <v/>
      </c>
      <c r="J152" s="7">
        <f>G152+H152+I152</f>
        <v/>
      </c>
      <c r="K152" s="7">
        <f>K151+J152</f>
        <v/>
      </c>
      <c r="L152" s="47">
        <f>IF(AND(D152=1,K151&lt;0,K152&gt;=0,J152&gt;0),(B151+(-K151/J152))/4,"")</f>
        <v/>
      </c>
    </row>
    <row r="153">
      <c r="A153" s="1" t="n"/>
      <c r="B153" s="45">
        <f>B152+1</f>
        <v/>
      </c>
      <c r="C153" s="45">
        <f>ROUNDUP(B153/4,0)</f>
        <v/>
      </c>
      <c r="D153" s="45">
        <f>IF(B153&lt;=Horizon*4,1,0)</f>
        <v/>
      </c>
      <c r="E153" s="45">
        <f>IF(AND(B153&gt;1,MOD(B153-1,MAX(1,Life)*4)=0),1,0)</f>
        <v/>
      </c>
      <c r="F153" s="7">
        <f>AcceptedWk</f>
        <v/>
      </c>
      <c r="G153" s="7">
        <f>RevenueWk</f>
        <v/>
      </c>
      <c r="H153" s="7">
        <f>-CollectionWk</f>
        <v/>
      </c>
      <c r="I153" s="7">
        <f>-Invest*E153</f>
        <v/>
      </c>
      <c r="J153" s="7">
        <f>G153+H153+I153</f>
        <v/>
      </c>
      <c r="K153" s="7">
        <f>K152+J153</f>
        <v/>
      </c>
      <c r="L153" s="47">
        <f>IF(AND(D153=1,K152&lt;0,K153&gt;=0,J153&gt;0),(B152+(-K152/J153))/4,"")</f>
        <v/>
      </c>
    </row>
    <row r="154">
      <c r="A154" s="1" t="n"/>
      <c r="B154" s="45">
        <f>B153+1</f>
        <v/>
      </c>
      <c r="C154" s="45">
        <f>ROUNDUP(B154/4,0)</f>
        <v/>
      </c>
      <c r="D154" s="45">
        <f>IF(B154&lt;=Horizon*4,1,0)</f>
        <v/>
      </c>
      <c r="E154" s="45">
        <f>IF(AND(B154&gt;1,MOD(B154-1,MAX(1,Life)*4)=0),1,0)</f>
        <v/>
      </c>
      <c r="F154" s="7">
        <f>AcceptedWk</f>
        <v/>
      </c>
      <c r="G154" s="7">
        <f>RevenueWk</f>
        <v/>
      </c>
      <c r="H154" s="7">
        <f>-CollectionWk</f>
        <v/>
      </c>
      <c r="I154" s="7">
        <f>-Invest*E154</f>
        <v/>
      </c>
      <c r="J154" s="7">
        <f>G154+H154+I154</f>
        <v/>
      </c>
      <c r="K154" s="7">
        <f>K153+J154</f>
        <v/>
      </c>
      <c r="L154" s="47">
        <f>IF(AND(D154=1,K153&lt;0,K154&gt;=0,J154&gt;0),(B153+(-K153/J154))/4,"")</f>
        <v/>
      </c>
    </row>
    <row r="155">
      <c r="A155" s="1" t="n"/>
      <c r="B155" s="45">
        <f>B154+1</f>
        <v/>
      </c>
      <c r="C155" s="45">
        <f>ROUNDUP(B155/4,0)</f>
        <v/>
      </c>
      <c r="D155" s="45">
        <f>IF(B155&lt;=Horizon*4,1,0)</f>
        <v/>
      </c>
      <c r="E155" s="45">
        <f>IF(AND(B155&gt;1,MOD(B155-1,MAX(1,Life)*4)=0),1,0)</f>
        <v/>
      </c>
      <c r="F155" s="7">
        <f>AcceptedWk</f>
        <v/>
      </c>
      <c r="G155" s="7">
        <f>RevenueWk</f>
        <v/>
      </c>
      <c r="H155" s="7">
        <f>-CollectionWk</f>
        <v/>
      </c>
      <c r="I155" s="7">
        <f>-Invest*E155</f>
        <v/>
      </c>
      <c r="J155" s="7">
        <f>G155+H155+I155</f>
        <v/>
      </c>
      <c r="K155" s="7">
        <f>K154+J155</f>
        <v/>
      </c>
      <c r="L155" s="47">
        <f>IF(AND(D155=1,K154&lt;0,K155&gt;=0,J155&gt;0),(B154+(-K154/J155))/4,"")</f>
        <v/>
      </c>
    </row>
    <row r="156">
      <c r="A156" s="1" t="n"/>
      <c r="B156" s="45">
        <f>B155+1</f>
        <v/>
      </c>
      <c r="C156" s="45">
        <f>ROUNDUP(B156/4,0)</f>
        <v/>
      </c>
      <c r="D156" s="45">
        <f>IF(B156&lt;=Horizon*4,1,0)</f>
        <v/>
      </c>
      <c r="E156" s="45">
        <f>IF(AND(B156&gt;1,MOD(B156-1,MAX(1,Life)*4)=0),1,0)</f>
        <v/>
      </c>
      <c r="F156" s="7">
        <f>AcceptedWk</f>
        <v/>
      </c>
      <c r="G156" s="7">
        <f>RevenueWk</f>
        <v/>
      </c>
      <c r="H156" s="7">
        <f>-CollectionWk</f>
        <v/>
      </c>
      <c r="I156" s="7">
        <f>-Invest*E156</f>
        <v/>
      </c>
      <c r="J156" s="7">
        <f>G156+H156+I156</f>
        <v/>
      </c>
      <c r="K156" s="7">
        <f>K155+J156</f>
        <v/>
      </c>
      <c r="L156" s="47">
        <f>IF(AND(D156=1,K155&lt;0,K156&gt;=0,J156&gt;0),(B155+(-K155/J156))/4,"")</f>
        <v/>
      </c>
    </row>
    <row r="157">
      <c r="A157" s="1" t="n"/>
      <c r="B157" s="45">
        <f>B156+1</f>
        <v/>
      </c>
      <c r="C157" s="45">
        <f>ROUNDUP(B157/4,0)</f>
        <v/>
      </c>
      <c r="D157" s="45">
        <f>IF(B157&lt;=Horizon*4,1,0)</f>
        <v/>
      </c>
      <c r="E157" s="45">
        <f>IF(AND(B157&gt;1,MOD(B157-1,MAX(1,Life)*4)=0),1,0)</f>
        <v/>
      </c>
      <c r="F157" s="7">
        <f>AcceptedWk</f>
        <v/>
      </c>
      <c r="G157" s="7">
        <f>RevenueWk</f>
        <v/>
      </c>
      <c r="H157" s="7">
        <f>-CollectionWk</f>
        <v/>
      </c>
      <c r="I157" s="7">
        <f>-Invest*E157</f>
        <v/>
      </c>
      <c r="J157" s="7">
        <f>G157+H157+I157</f>
        <v/>
      </c>
      <c r="K157" s="7">
        <f>K156+J157</f>
        <v/>
      </c>
      <c r="L157" s="47">
        <f>IF(AND(D157=1,K156&lt;0,K157&gt;=0,J157&gt;0),(B156+(-K156/J157))/4,"")</f>
        <v/>
      </c>
    </row>
    <row r="158">
      <c r="A158" s="1" t="n"/>
      <c r="B158" s="45">
        <f>B157+1</f>
        <v/>
      </c>
      <c r="C158" s="45">
        <f>ROUNDUP(B158/4,0)</f>
        <v/>
      </c>
      <c r="D158" s="45">
        <f>IF(B158&lt;=Horizon*4,1,0)</f>
        <v/>
      </c>
      <c r="E158" s="45">
        <f>IF(AND(B158&gt;1,MOD(B158-1,MAX(1,Life)*4)=0),1,0)</f>
        <v/>
      </c>
      <c r="F158" s="7">
        <f>AcceptedWk</f>
        <v/>
      </c>
      <c r="G158" s="7">
        <f>RevenueWk</f>
        <v/>
      </c>
      <c r="H158" s="7">
        <f>-CollectionWk</f>
        <v/>
      </c>
      <c r="I158" s="7">
        <f>-Invest*E158</f>
        <v/>
      </c>
      <c r="J158" s="7">
        <f>G158+H158+I158</f>
        <v/>
      </c>
      <c r="K158" s="7">
        <f>K157+J158</f>
        <v/>
      </c>
      <c r="L158" s="47">
        <f>IF(AND(D158=1,K157&lt;0,K158&gt;=0,J158&gt;0),(B157+(-K157/J158))/4,"")</f>
        <v/>
      </c>
    </row>
    <row r="159">
      <c r="A159" s="1" t="n"/>
      <c r="B159" s="45">
        <f>B158+1</f>
        <v/>
      </c>
      <c r="C159" s="45">
        <f>ROUNDUP(B159/4,0)</f>
        <v/>
      </c>
      <c r="D159" s="45">
        <f>IF(B159&lt;=Horizon*4,1,0)</f>
        <v/>
      </c>
      <c r="E159" s="45">
        <f>IF(AND(B159&gt;1,MOD(B159-1,MAX(1,Life)*4)=0),1,0)</f>
        <v/>
      </c>
      <c r="F159" s="7">
        <f>AcceptedWk</f>
        <v/>
      </c>
      <c r="G159" s="7">
        <f>RevenueWk</f>
        <v/>
      </c>
      <c r="H159" s="7">
        <f>-CollectionWk</f>
        <v/>
      </c>
      <c r="I159" s="7">
        <f>-Invest*E159</f>
        <v/>
      </c>
      <c r="J159" s="7">
        <f>G159+H159+I159</f>
        <v/>
      </c>
      <c r="K159" s="7">
        <f>K158+J159</f>
        <v/>
      </c>
      <c r="L159" s="47">
        <f>IF(AND(D159=1,K158&lt;0,K159&gt;=0,J159&gt;0),(B158+(-K158/J159))/4,"")</f>
        <v/>
      </c>
    </row>
    <row r="160">
      <c r="A160" s="1" t="n"/>
      <c r="B160" s="45">
        <f>B159+1</f>
        <v/>
      </c>
      <c r="C160" s="45">
        <f>ROUNDUP(B160/4,0)</f>
        <v/>
      </c>
      <c r="D160" s="45">
        <f>IF(B160&lt;=Horizon*4,1,0)</f>
        <v/>
      </c>
      <c r="E160" s="45">
        <f>IF(AND(B160&gt;1,MOD(B160-1,MAX(1,Life)*4)=0),1,0)</f>
        <v/>
      </c>
      <c r="F160" s="7">
        <f>AcceptedWk</f>
        <v/>
      </c>
      <c r="G160" s="7">
        <f>RevenueWk</f>
        <v/>
      </c>
      <c r="H160" s="7">
        <f>-CollectionWk</f>
        <v/>
      </c>
      <c r="I160" s="7">
        <f>-Invest*E160</f>
        <v/>
      </c>
      <c r="J160" s="7">
        <f>G160+H160+I160</f>
        <v/>
      </c>
      <c r="K160" s="7">
        <f>K159+J160</f>
        <v/>
      </c>
      <c r="L160" s="47">
        <f>IF(AND(D160=1,K159&lt;0,K160&gt;=0,J160&gt;0),(B159+(-K159/J160))/4,"")</f>
        <v/>
      </c>
    </row>
    <row r="161">
      <c r="A161" s="1" t="n"/>
      <c r="B161" s="45">
        <f>B160+1</f>
        <v/>
      </c>
      <c r="C161" s="45">
        <f>ROUNDUP(B161/4,0)</f>
        <v/>
      </c>
      <c r="D161" s="45">
        <f>IF(B161&lt;=Horizon*4,1,0)</f>
        <v/>
      </c>
      <c r="E161" s="45">
        <f>IF(AND(B161&gt;1,MOD(B161-1,MAX(1,Life)*4)=0),1,0)</f>
        <v/>
      </c>
      <c r="F161" s="7">
        <f>AcceptedWk</f>
        <v/>
      </c>
      <c r="G161" s="7">
        <f>RevenueWk</f>
        <v/>
      </c>
      <c r="H161" s="7">
        <f>-CollectionWk</f>
        <v/>
      </c>
      <c r="I161" s="7">
        <f>-Invest*E161</f>
        <v/>
      </c>
      <c r="J161" s="7">
        <f>G161+H161+I161</f>
        <v/>
      </c>
      <c r="K161" s="7">
        <f>K160+J161</f>
        <v/>
      </c>
      <c r="L161" s="47">
        <f>IF(AND(D161=1,K160&lt;0,K161&gt;=0,J161&gt;0),(B160+(-K160/J161))/4,"")</f>
        <v/>
      </c>
    </row>
    <row r="162">
      <c r="A162" s="1" t="n"/>
      <c r="B162" s="45">
        <f>B161+1</f>
        <v/>
      </c>
      <c r="C162" s="45">
        <f>ROUNDUP(B162/4,0)</f>
        <v/>
      </c>
      <c r="D162" s="45">
        <f>IF(B162&lt;=Horizon*4,1,0)</f>
        <v/>
      </c>
      <c r="E162" s="45">
        <f>IF(AND(B162&gt;1,MOD(B162-1,MAX(1,Life)*4)=0),1,0)</f>
        <v/>
      </c>
      <c r="F162" s="7">
        <f>AcceptedWk</f>
        <v/>
      </c>
      <c r="G162" s="7">
        <f>RevenueWk</f>
        <v/>
      </c>
      <c r="H162" s="7">
        <f>-CollectionWk</f>
        <v/>
      </c>
      <c r="I162" s="7">
        <f>-Invest*E162</f>
        <v/>
      </c>
      <c r="J162" s="7">
        <f>G162+H162+I162</f>
        <v/>
      </c>
      <c r="K162" s="7">
        <f>K161+J162</f>
        <v/>
      </c>
      <c r="L162" s="47">
        <f>IF(AND(D162=1,K161&lt;0,K162&gt;=0,J162&gt;0),(B161+(-K161/J162))/4,"")</f>
        <v/>
      </c>
    </row>
    <row r="163">
      <c r="A163" s="1" t="n"/>
      <c r="B163" s="45">
        <f>B162+1</f>
        <v/>
      </c>
      <c r="C163" s="45">
        <f>ROUNDUP(B163/4,0)</f>
        <v/>
      </c>
      <c r="D163" s="45">
        <f>IF(B163&lt;=Horizon*4,1,0)</f>
        <v/>
      </c>
      <c r="E163" s="45">
        <f>IF(AND(B163&gt;1,MOD(B163-1,MAX(1,Life)*4)=0),1,0)</f>
        <v/>
      </c>
      <c r="F163" s="7">
        <f>AcceptedWk</f>
        <v/>
      </c>
      <c r="G163" s="7">
        <f>RevenueWk</f>
        <v/>
      </c>
      <c r="H163" s="7">
        <f>-CollectionWk</f>
        <v/>
      </c>
      <c r="I163" s="7">
        <f>-Invest*E163</f>
        <v/>
      </c>
      <c r="J163" s="7">
        <f>G163+H163+I163</f>
        <v/>
      </c>
      <c r="K163" s="7">
        <f>K162+J163</f>
        <v/>
      </c>
      <c r="L163" s="47">
        <f>IF(AND(D163=1,K162&lt;0,K163&gt;=0,J163&gt;0),(B162+(-K162/J163))/4,"")</f>
        <v/>
      </c>
    </row>
    <row r="164">
      <c r="A164" s="1" t="n"/>
      <c r="B164" s="45">
        <f>B163+1</f>
        <v/>
      </c>
      <c r="C164" s="45">
        <f>ROUNDUP(B164/4,0)</f>
        <v/>
      </c>
      <c r="D164" s="45">
        <f>IF(B164&lt;=Horizon*4,1,0)</f>
        <v/>
      </c>
      <c r="E164" s="45">
        <f>IF(AND(B164&gt;1,MOD(B164-1,MAX(1,Life)*4)=0),1,0)</f>
        <v/>
      </c>
      <c r="F164" s="7">
        <f>AcceptedWk</f>
        <v/>
      </c>
      <c r="G164" s="7">
        <f>RevenueWk</f>
        <v/>
      </c>
      <c r="H164" s="7">
        <f>-CollectionWk</f>
        <v/>
      </c>
      <c r="I164" s="7">
        <f>-Invest*E164</f>
        <v/>
      </c>
      <c r="J164" s="7">
        <f>G164+H164+I164</f>
        <v/>
      </c>
      <c r="K164" s="7">
        <f>K163+J164</f>
        <v/>
      </c>
      <c r="L164" s="47">
        <f>IF(AND(D164=1,K163&lt;0,K164&gt;=0,J164&gt;0),(B163+(-K163/J164))/4,"")</f>
        <v/>
      </c>
    </row>
    <row r="165">
      <c r="A165" s="1" t="n"/>
      <c r="B165" s="45">
        <f>B164+1</f>
        <v/>
      </c>
      <c r="C165" s="45">
        <f>ROUNDUP(B165/4,0)</f>
        <v/>
      </c>
      <c r="D165" s="45">
        <f>IF(B165&lt;=Horizon*4,1,0)</f>
        <v/>
      </c>
      <c r="E165" s="45">
        <f>IF(AND(B165&gt;1,MOD(B165-1,MAX(1,Life)*4)=0),1,0)</f>
        <v/>
      </c>
      <c r="F165" s="7">
        <f>AcceptedWk</f>
        <v/>
      </c>
      <c r="G165" s="7">
        <f>RevenueWk</f>
        <v/>
      </c>
      <c r="H165" s="7">
        <f>-CollectionWk</f>
        <v/>
      </c>
      <c r="I165" s="7">
        <f>-Invest*E165</f>
        <v/>
      </c>
      <c r="J165" s="7">
        <f>G165+H165+I165</f>
        <v/>
      </c>
      <c r="K165" s="7">
        <f>K164+J165</f>
        <v/>
      </c>
      <c r="L165" s="47">
        <f>IF(AND(D165=1,K164&lt;0,K165&gt;=0,J165&gt;0),(B164+(-K164/J165))/4,"")</f>
        <v/>
      </c>
    </row>
    <row r="166">
      <c r="A166" s="1" t="n"/>
      <c r="B166" s="45">
        <f>B165+1</f>
        <v/>
      </c>
      <c r="C166" s="45">
        <f>ROUNDUP(B166/4,0)</f>
        <v/>
      </c>
      <c r="D166" s="45">
        <f>IF(B166&lt;=Horizon*4,1,0)</f>
        <v/>
      </c>
      <c r="E166" s="45">
        <f>IF(AND(B166&gt;1,MOD(B166-1,MAX(1,Life)*4)=0),1,0)</f>
        <v/>
      </c>
      <c r="F166" s="7">
        <f>AcceptedWk</f>
        <v/>
      </c>
      <c r="G166" s="7">
        <f>RevenueWk</f>
        <v/>
      </c>
      <c r="H166" s="7">
        <f>-CollectionWk</f>
        <v/>
      </c>
      <c r="I166" s="7">
        <f>-Invest*E166</f>
        <v/>
      </c>
      <c r="J166" s="7">
        <f>G166+H166+I166</f>
        <v/>
      </c>
      <c r="K166" s="7">
        <f>K165+J166</f>
        <v/>
      </c>
      <c r="L166" s="47">
        <f>IF(AND(D166=1,K165&lt;0,K166&gt;=0,J166&gt;0),(B165+(-K165/J166))/4,"")</f>
        <v/>
      </c>
    </row>
    <row r="167">
      <c r="A167" s="1" t="n"/>
      <c r="B167" s="45">
        <f>B166+1</f>
        <v/>
      </c>
      <c r="C167" s="45">
        <f>ROUNDUP(B167/4,0)</f>
        <v/>
      </c>
      <c r="D167" s="45">
        <f>IF(B167&lt;=Horizon*4,1,0)</f>
        <v/>
      </c>
      <c r="E167" s="45">
        <f>IF(AND(B167&gt;1,MOD(B167-1,MAX(1,Life)*4)=0),1,0)</f>
        <v/>
      </c>
      <c r="F167" s="7">
        <f>AcceptedWk</f>
        <v/>
      </c>
      <c r="G167" s="7">
        <f>RevenueWk</f>
        <v/>
      </c>
      <c r="H167" s="7">
        <f>-CollectionWk</f>
        <v/>
      </c>
      <c r="I167" s="7">
        <f>-Invest*E167</f>
        <v/>
      </c>
      <c r="J167" s="7">
        <f>G167+H167+I167</f>
        <v/>
      </c>
      <c r="K167" s="7">
        <f>K166+J167</f>
        <v/>
      </c>
      <c r="L167" s="47">
        <f>IF(AND(D167=1,K166&lt;0,K167&gt;=0,J167&gt;0),(B166+(-K166/J167))/4,"")</f>
        <v/>
      </c>
    </row>
    <row r="168">
      <c r="A168" s="1" t="n"/>
      <c r="B168" s="45">
        <f>B167+1</f>
        <v/>
      </c>
      <c r="C168" s="45">
        <f>ROUNDUP(B168/4,0)</f>
        <v/>
      </c>
      <c r="D168" s="45">
        <f>IF(B168&lt;=Horizon*4,1,0)</f>
        <v/>
      </c>
      <c r="E168" s="45">
        <f>IF(AND(B168&gt;1,MOD(B168-1,MAX(1,Life)*4)=0),1,0)</f>
        <v/>
      </c>
      <c r="F168" s="7">
        <f>AcceptedWk</f>
        <v/>
      </c>
      <c r="G168" s="7">
        <f>RevenueWk</f>
        <v/>
      </c>
      <c r="H168" s="7">
        <f>-CollectionWk</f>
        <v/>
      </c>
      <c r="I168" s="7">
        <f>-Invest*E168</f>
        <v/>
      </c>
      <c r="J168" s="7">
        <f>G168+H168+I168</f>
        <v/>
      </c>
      <c r="K168" s="7">
        <f>K167+J168</f>
        <v/>
      </c>
      <c r="L168" s="47">
        <f>IF(AND(D168=1,K167&lt;0,K168&gt;=0,J168&gt;0),(B167+(-K167/J168))/4,"")</f>
        <v/>
      </c>
    </row>
    <row r="169">
      <c r="A169" s="1" t="n"/>
      <c r="B169" s="45">
        <f>B168+1</f>
        <v/>
      </c>
      <c r="C169" s="45">
        <f>ROUNDUP(B169/4,0)</f>
        <v/>
      </c>
      <c r="D169" s="45">
        <f>IF(B169&lt;=Horizon*4,1,0)</f>
        <v/>
      </c>
      <c r="E169" s="45">
        <f>IF(AND(B169&gt;1,MOD(B169-1,MAX(1,Life)*4)=0),1,0)</f>
        <v/>
      </c>
      <c r="F169" s="7">
        <f>AcceptedWk</f>
        <v/>
      </c>
      <c r="G169" s="7">
        <f>RevenueWk</f>
        <v/>
      </c>
      <c r="H169" s="7">
        <f>-CollectionWk</f>
        <v/>
      </c>
      <c r="I169" s="7">
        <f>-Invest*E169</f>
        <v/>
      </c>
      <c r="J169" s="7">
        <f>G169+H169+I169</f>
        <v/>
      </c>
      <c r="K169" s="7">
        <f>K168+J169</f>
        <v/>
      </c>
      <c r="L169" s="47">
        <f>IF(AND(D169=1,K168&lt;0,K169&gt;=0,J169&gt;0),(B168+(-K168/J169))/4,"")</f>
        <v/>
      </c>
    </row>
    <row r="170">
      <c r="A170" s="1" t="n"/>
      <c r="B170" s="45">
        <f>B169+1</f>
        <v/>
      </c>
      <c r="C170" s="45">
        <f>ROUNDUP(B170/4,0)</f>
        <v/>
      </c>
      <c r="D170" s="45">
        <f>IF(B170&lt;=Horizon*4,1,0)</f>
        <v/>
      </c>
      <c r="E170" s="45">
        <f>IF(AND(B170&gt;1,MOD(B170-1,MAX(1,Life)*4)=0),1,0)</f>
        <v/>
      </c>
      <c r="F170" s="7">
        <f>AcceptedWk</f>
        <v/>
      </c>
      <c r="G170" s="7">
        <f>RevenueWk</f>
        <v/>
      </c>
      <c r="H170" s="7">
        <f>-CollectionWk</f>
        <v/>
      </c>
      <c r="I170" s="7">
        <f>-Invest*E170</f>
        <v/>
      </c>
      <c r="J170" s="7">
        <f>G170+H170+I170</f>
        <v/>
      </c>
      <c r="K170" s="7">
        <f>K169+J170</f>
        <v/>
      </c>
      <c r="L170" s="47">
        <f>IF(AND(D170=1,K169&lt;0,K170&gt;=0,J170&gt;0),(B169+(-K169/J170))/4,"")</f>
        <v/>
      </c>
    </row>
    <row r="171">
      <c r="A171" s="1" t="n"/>
      <c r="B171" s="45">
        <f>B170+1</f>
        <v/>
      </c>
      <c r="C171" s="45">
        <f>ROUNDUP(B171/4,0)</f>
        <v/>
      </c>
      <c r="D171" s="45">
        <f>IF(B171&lt;=Horizon*4,1,0)</f>
        <v/>
      </c>
      <c r="E171" s="45">
        <f>IF(AND(B171&gt;1,MOD(B171-1,MAX(1,Life)*4)=0),1,0)</f>
        <v/>
      </c>
      <c r="F171" s="7">
        <f>AcceptedWk</f>
        <v/>
      </c>
      <c r="G171" s="7">
        <f>RevenueWk</f>
        <v/>
      </c>
      <c r="H171" s="7">
        <f>-CollectionWk</f>
        <v/>
      </c>
      <c r="I171" s="7">
        <f>-Invest*E171</f>
        <v/>
      </c>
      <c r="J171" s="7">
        <f>G171+H171+I171</f>
        <v/>
      </c>
      <c r="K171" s="7">
        <f>K170+J171</f>
        <v/>
      </c>
      <c r="L171" s="47">
        <f>IF(AND(D171=1,K170&lt;0,K171&gt;=0,J171&gt;0),(B170+(-K170/J171))/4,"")</f>
        <v/>
      </c>
    </row>
    <row r="172">
      <c r="A172" s="1" t="n"/>
      <c r="B172" s="45">
        <f>B171+1</f>
        <v/>
      </c>
      <c r="C172" s="45">
        <f>ROUNDUP(B172/4,0)</f>
        <v/>
      </c>
      <c r="D172" s="45">
        <f>IF(B172&lt;=Horizon*4,1,0)</f>
        <v/>
      </c>
      <c r="E172" s="45">
        <f>IF(AND(B172&gt;1,MOD(B172-1,MAX(1,Life)*4)=0),1,0)</f>
        <v/>
      </c>
      <c r="F172" s="7">
        <f>AcceptedWk</f>
        <v/>
      </c>
      <c r="G172" s="7">
        <f>RevenueWk</f>
        <v/>
      </c>
      <c r="H172" s="7">
        <f>-CollectionWk</f>
        <v/>
      </c>
      <c r="I172" s="7">
        <f>-Invest*E172</f>
        <v/>
      </c>
      <c r="J172" s="7">
        <f>G172+H172+I172</f>
        <v/>
      </c>
      <c r="K172" s="7">
        <f>K171+J172</f>
        <v/>
      </c>
      <c r="L172" s="47">
        <f>IF(AND(D172=1,K171&lt;0,K172&gt;=0,J172&gt;0),(B171+(-K171/J172))/4,"")</f>
        <v/>
      </c>
    </row>
    <row r="173">
      <c r="A173" s="1" t="n"/>
      <c r="B173" s="45">
        <f>B172+1</f>
        <v/>
      </c>
      <c r="C173" s="45">
        <f>ROUNDUP(B173/4,0)</f>
        <v/>
      </c>
      <c r="D173" s="45">
        <f>IF(B173&lt;=Horizon*4,1,0)</f>
        <v/>
      </c>
      <c r="E173" s="45">
        <f>IF(AND(B173&gt;1,MOD(B173-1,MAX(1,Life)*4)=0),1,0)</f>
        <v/>
      </c>
      <c r="F173" s="7">
        <f>AcceptedWk</f>
        <v/>
      </c>
      <c r="G173" s="7">
        <f>RevenueWk</f>
        <v/>
      </c>
      <c r="H173" s="7">
        <f>-CollectionWk</f>
        <v/>
      </c>
      <c r="I173" s="7">
        <f>-Invest*E173</f>
        <v/>
      </c>
      <c r="J173" s="7">
        <f>G173+H173+I173</f>
        <v/>
      </c>
      <c r="K173" s="7">
        <f>K172+J173</f>
        <v/>
      </c>
      <c r="L173" s="47">
        <f>IF(AND(D173=1,K172&lt;0,K173&gt;=0,J173&gt;0),(B172+(-K172/J173))/4,"")</f>
        <v/>
      </c>
    </row>
    <row r="174">
      <c r="A174" s="1" t="n"/>
      <c r="B174" s="45">
        <f>B173+1</f>
        <v/>
      </c>
      <c r="C174" s="45">
        <f>ROUNDUP(B174/4,0)</f>
        <v/>
      </c>
      <c r="D174" s="45">
        <f>IF(B174&lt;=Horizon*4,1,0)</f>
        <v/>
      </c>
      <c r="E174" s="45">
        <f>IF(AND(B174&gt;1,MOD(B174-1,MAX(1,Life)*4)=0),1,0)</f>
        <v/>
      </c>
      <c r="F174" s="7">
        <f>AcceptedWk</f>
        <v/>
      </c>
      <c r="G174" s="7">
        <f>RevenueWk</f>
        <v/>
      </c>
      <c r="H174" s="7">
        <f>-CollectionWk</f>
        <v/>
      </c>
      <c r="I174" s="7">
        <f>-Invest*E174</f>
        <v/>
      </c>
      <c r="J174" s="7">
        <f>G174+H174+I174</f>
        <v/>
      </c>
      <c r="K174" s="7">
        <f>K173+J174</f>
        <v/>
      </c>
      <c r="L174" s="47">
        <f>IF(AND(D174=1,K173&lt;0,K174&gt;=0,J174&gt;0),(B173+(-K173/J174))/4,"")</f>
        <v/>
      </c>
    </row>
    <row r="175">
      <c r="A175" s="1" t="n"/>
      <c r="B175" s="45">
        <f>B174+1</f>
        <v/>
      </c>
      <c r="C175" s="45">
        <f>ROUNDUP(B175/4,0)</f>
        <v/>
      </c>
      <c r="D175" s="45">
        <f>IF(B175&lt;=Horizon*4,1,0)</f>
        <v/>
      </c>
      <c r="E175" s="45">
        <f>IF(AND(B175&gt;1,MOD(B175-1,MAX(1,Life)*4)=0),1,0)</f>
        <v/>
      </c>
      <c r="F175" s="7">
        <f>AcceptedWk</f>
        <v/>
      </c>
      <c r="G175" s="7">
        <f>RevenueWk</f>
        <v/>
      </c>
      <c r="H175" s="7">
        <f>-CollectionWk</f>
        <v/>
      </c>
      <c r="I175" s="7">
        <f>-Invest*E175</f>
        <v/>
      </c>
      <c r="J175" s="7">
        <f>G175+H175+I175</f>
        <v/>
      </c>
      <c r="K175" s="7">
        <f>K174+J175</f>
        <v/>
      </c>
      <c r="L175" s="47">
        <f>IF(AND(D175=1,K174&lt;0,K175&gt;=0,J175&gt;0),(B174+(-K174/J175))/4,"")</f>
        <v/>
      </c>
    </row>
    <row r="176">
      <c r="A176" s="1" t="n"/>
      <c r="B176" s="45">
        <f>B175+1</f>
        <v/>
      </c>
      <c r="C176" s="45">
        <f>ROUNDUP(B176/4,0)</f>
        <v/>
      </c>
      <c r="D176" s="45">
        <f>IF(B176&lt;=Horizon*4,1,0)</f>
        <v/>
      </c>
      <c r="E176" s="45">
        <f>IF(AND(B176&gt;1,MOD(B176-1,MAX(1,Life)*4)=0),1,0)</f>
        <v/>
      </c>
      <c r="F176" s="7">
        <f>AcceptedWk</f>
        <v/>
      </c>
      <c r="G176" s="7">
        <f>RevenueWk</f>
        <v/>
      </c>
      <c r="H176" s="7">
        <f>-CollectionWk</f>
        <v/>
      </c>
      <c r="I176" s="7">
        <f>-Invest*E176</f>
        <v/>
      </c>
      <c r="J176" s="7">
        <f>G176+H176+I176</f>
        <v/>
      </c>
      <c r="K176" s="7">
        <f>K175+J176</f>
        <v/>
      </c>
      <c r="L176" s="47">
        <f>IF(AND(D176=1,K175&lt;0,K176&gt;=0,J176&gt;0),(B175+(-K175/J176))/4,"")</f>
        <v/>
      </c>
    </row>
    <row r="177">
      <c r="A177" s="1" t="n"/>
      <c r="B177" s="45">
        <f>B176+1</f>
        <v/>
      </c>
      <c r="C177" s="45">
        <f>ROUNDUP(B177/4,0)</f>
        <v/>
      </c>
      <c r="D177" s="45">
        <f>IF(B177&lt;=Horizon*4,1,0)</f>
        <v/>
      </c>
      <c r="E177" s="45">
        <f>IF(AND(B177&gt;1,MOD(B177-1,MAX(1,Life)*4)=0),1,0)</f>
        <v/>
      </c>
      <c r="F177" s="7">
        <f>AcceptedWk</f>
        <v/>
      </c>
      <c r="G177" s="7">
        <f>RevenueWk</f>
        <v/>
      </c>
      <c r="H177" s="7">
        <f>-CollectionWk</f>
        <v/>
      </c>
      <c r="I177" s="7">
        <f>-Invest*E177</f>
        <v/>
      </c>
      <c r="J177" s="7">
        <f>G177+H177+I177</f>
        <v/>
      </c>
      <c r="K177" s="7">
        <f>K176+J177</f>
        <v/>
      </c>
      <c r="L177" s="47">
        <f>IF(AND(D177=1,K176&lt;0,K177&gt;=0,J177&gt;0),(B176+(-K176/J177))/4,"")</f>
        <v/>
      </c>
    </row>
    <row r="178">
      <c r="A178" s="1" t="n"/>
      <c r="B178" s="45">
        <f>B177+1</f>
        <v/>
      </c>
      <c r="C178" s="45">
        <f>ROUNDUP(B178/4,0)</f>
        <v/>
      </c>
      <c r="D178" s="45">
        <f>IF(B178&lt;=Horizon*4,1,0)</f>
        <v/>
      </c>
      <c r="E178" s="45">
        <f>IF(AND(B178&gt;1,MOD(B178-1,MAX(1,Life)*4)=0),1,0)</f>
        <v/>
      </c>
      <c r="F178" s="7">
        <f>AcceptedWk</f>
        <v/>
      </c>
      <c r="G178" s="7">
        <f>RevenueWk</f>
        <v/>
      </c>
      <c r="H178" s="7">
        <f>-CollectionWk</f>
        <v/>
      </c>
      <c r="I178" s="7">
        <f>-Invest*E178</f>
        <v/>
      </c>
      <c r="J178" s="7">
        <f>G178+H178+I178</f>
        <v/>
      </c>
      <c r="K178" s="7">
        <f>K177+J178</f>
        <v/>
      </c>
      <c r="L178" s="47">
        <f>IF(AND(D178=1,K177&lt;0,K178&gt;=0,J178&gt;0),(B177+(-K177/J178))/4,"")</f>
        <v/>
      </c>
    </row>
    <row r="179">
      <c r="A179" s="1" t="n"/>
      <c r="B179" s="45">
        <f>B178+1</f>
        <v/>
      </c>
      <c r="C179" s="45">
        <f>ROUNDUP(B179/4,0)</f>
        <v/>
      </c>
      <c r="D179" s="45">
        <f>IF(B179&lt;=Horizon*4,1,0)</f>
        <v/>
      </c>
      <c r="E179" s="45">
        <f>IF(AND(B179&gt;1,MOD(B179-1,MAX(1,Life)*4)=0),1,0)</f>
        <v/>
      </c>
      <c r="F179" s="7">
        <f>AcceptedWk</f>
        <v/>
      </c>
      <c r="G179" s="7">
        <f>RevenueWk</f>
        <v/>
      </c>
      <c r="H179" s="7">
        <f>-CollectionWk</f>
        <v/>
      </c>
      <c r="I179" s="7">
        <f>-Invest*E179</f>
        <v/>
      </c>
      <c r="J179" s="7">
        <f>G179+H179+I179</f>
        <v/>
      </c>
      <c r="K179" s="7">
        <f>K178+J179</f>
        <v/>
      </c>
      <c r="L179" s="47">
        <f>IF(AND(D179=1,K178&lt;0,K179&gt;=0,J179&gt;0),(B178+(-K178/J179))/4,"")</f>
        <v/>
      </c>
    </row>
    <row r="180">
      <c r="A180" s="1" t="n"/>
      <c r="B180" s="45">
        <f>B179+1</f>
        <v/>
      </c>
      <c r="C180" s="45">
        <f>ROUNDUP(B180/4,0)</f>
        <v/>
      </c>
      <c r="D180" s="45">
        <f>IF(B180&lt;=Horizon*4,1,0)</f>
        <v/>
      </c>
      <c r="E180" s="45">
        <f>IF(AND(B180&gt;1,MOD(B180-1,MAX(1,Life)*4)=0),1,0)</f>
        <v/>
      </c>
      <c r="F180" s="7">
        <f>AcceptedWk</f>
        <v/>
      </c>
      <c r="G180" s="7">
        <f>RevenueWk</f>
        <v/>
      </c>
      <c r="H180" s="7">
        <f>-CollectionWk</f>
        <v/>
      </c>
      <c r="I180" s="7">
        <f>-Invest*E180</f>
        <v/>
      </c>
      <c r="J180" s="7">
        <f>G180+H180+I180</f>
        <v/>
      </c>
      <c r="K180" s="7">
        <f>K179+J180</f>
        <v/>
      </c>
      <c r="L180" s="47">
        <f>IF(AND(D180=1,K179&lt;0,K180&gt;=0,J180&gt;0),(B179+(-K179/J180))/4,"")</f>
        <v/>
      </c>
    </row>
    <row r="181">
      <c r="A181" s="1" t="n"/>
      <c r="B181" s="45">
        <f>B180+1</f>
        <v/>
      </c>
      <c r="C181" s="45">
        <f>ROUNDUP(B181/4,0)</f>
        <v/>
      </c>
      <c r="D181" s="45">
        <f>IF(B181&lt;=Horizon*4,1,0)</f>
        <v/>
      </c>
      <c r="E181" s="45">
        <f>IF(AND(B181&gt;1,MOD(B181-1,MAX(1,Life)*4)=0),1,0)</f>
        <v/>
      </c>
      <c r="F181" s="7">
        <f>AcceptedWk</f>
        <v/>
      </c>
      <c r="G181" s="7">
        <f>RevenueWk</f>
        <v/>
      </c>
      <c r="H181" s="7">
        <f>-CollectionWk</f>
        <v/>
      </c>
      <c r="I181" s="7">
        <f>-Invest*E181</f>
        <v/>
      </c>
      <c r="J181" s="7">
        <f>G181+H181+I181</f>
        <v/>
      </c>
      <c r="K181" s="7">
        <f>K180+J181</f>
        <v/>
      </c>
      <c r="L181" s="47">
        <f>IF(AND(D181=1,K180&lt;0,K181&gt;=0,J181&gt;0),(B180+(-K180/J181))/4,"")</f>
        <v/>
      </c>
    </row>
    <row r="182">
      <c r="A182" s="1" t="n"/>
      <c r="B182" s="45">
        <f>B181+1</f>
        <v/>
      </c>
      <c r="C182" s="45">
        <f>ROUNDUP(B182/4,0)</f>
        <v/>
      </c>
      <c r="D182" s="45">
        <f>IF(B182&lt;=Horizon*4,1,0)</f>
        <v/>
      </c>
      <c r="E182" s="45">
        <f>IF(AND(B182&gt;1,MOD(B182-1,MAX(1,Life)*4)=0),1,0)</f>
        <v/>
      </c>
      <c r="F182" s="7">
        <f>AcceptedWk</f>
        <v/>
      </c>
      <c r="G182" s="7">
        <f>RevenueWk</f>
        <v/>
      </c>
      <c r="H182" s="7">
        <f>-CollectionWk</f>
        <v/>
      </c>
      <c r="I182" s="7">
        <f>-Invest*E182</f>
        <v/>
      </c>
      <c r="J182" s="7">
        <f>G182+H182+I182</f>
        <v/>
      </c>
      <c r="K182" s="7">
        <f>K181+J182</f>
        <v/>
      </c>
      <c r="L182" s="47">
        <f>IF(AND(D182=1,K181&lt;0,K182&gt;=0,J182&gt;0),(B181+(-K181/J182))/4,"")</f>
        <v/>
      </c>
    </row>
    <row r="183">
      <c r="A183" s="1" t="n"/>
      <c r="B183" s="45">
        <f>B182+1</f>
        <v/>
      </c>
      <c r="C183" s="45">
        <f>ROUNDUP(B183/4,0)</f>
        <v/>
      </c>
      <c r="D183" s="45">
        <f>IF(B183&lt;=Horizon*4,1,0)</f>
        <v/>
      </c>
      <c r="E183" s="45">
        <f>IF(AND(B183&gt;1,MOD(B183-1,MAX(1,Life)*4)=0),1,0)</f>
        <v/>
      </c>
      <c r="F183" s="7">
        <f>AcceptedWk</f>
        <v/>
      </c>
      <c r="G183" s="7">
        <f>RevenueWk</f>
        <v/>
      </c>
      <c r="H183" s="7">
        <f>-CollectionWk</f>
        <v/>
      </c>
      <c r="I183" s="7">
        <f>-Invest*E183</f>
        <v/>
      </c>
      <c r="J183" s="7">
        <f>G183+H183+I183</f>
        <v/>
      </c>
      <c r="K183" s="7">
        <f>K182+J183</f>
        <v/>
      </c>
      <c r="L183" s="47">
        <f>IF(AND(D183=1,K182&lt;0,K183&gt;=0,J183&gt;0),(B182+(-K182/J183))/4,"")</f>
        <v/>
      </c>
    </row>
    <row r="184">
      <c r="A184" s="1" t="n"/>
      <c r="B184" s="45">
        <f>B183+1</f>
        <v/>
      </c>
      <c r="C184" s="45">
        <f>ROUNDUP(B184/4,0)</f>
        <v/>
      </c>
      <c r="D184" s="45">
        <f>IF(B184&lt;=Horizon*4,1,0)</f>
        <v/>
      </c>
      <c r="E184" s="45">
        <f>IF(AND(B184&gt;1,MOD(B184-1,MAX(1,Life)*4)=0),1,0)</f>
        <v/>
      </c>
      <c r="F184" s="7">
        <f>AcceptedWk</f>
        <v/>
      </c>
      <c r="G184" s="7">
        <f>RevenueWk</f>
        <v/>
      </c>
      <c r="H184" s="7">
        <f>-CollectionWk</f>
        <v/>
      </c>
      <c r="I184" s="7">
        <f>-Invest*E184</f>
        <v/>
      </c>
      <c r="J184" s="7">
        <f>G184+H184+I184</f>
        <v/>
      </c>
      <c r="K184" s="7">
        <f>K183+J184</f>
        <v/>
      </c>
      <c r="L184" s="47">
        <f>IF(AND(D184=1,K183&lt;0,K184&gt;=0,J184&gt;0),(B183+(-K183/J184))/4,"")</f>
        <v/>
      </c>
    </row>
    <row r="185">
      <c r="A185" s="1" t="n"/>
      <c r="B185" s="45">
        <f>B184+1</f>
        <v/>
      </c>
      <c r="C185" s="45">
        <f>ROUNDUP(B185/4,0)</f>
        <v/>
      </c>
      <c r="D185" s="45">
        <f>IF(B185&lt;=Horizon*4,1,0)</f>
        <v/>
      </c>
      <c r="E185" s="45">
        <f>IF(AND(B185&gt;1,MOD(B185-1,MAX(1,Life)*4)=0),1,0)</f>
        <v/>
      </c>
      <c r="F185" s="7">
        <f>AcceptedWk</f>
        <v/>
      </c>
      <c r="G185" s="7">
        <f>RevenueWk</f>
        <v/>
      </c>
      <c r="H185" s="7">
        <f>-CollectionWk</f>
        <v/>
      </c>
      <c r="I185" s="7">
        <f>-Invest*E185</f>
        <v/>
      </c>
      <c r="J185" s="7">
        <f>G185+H185+I185</f>
        <v/>
      </c>
      <c r="K185" s="7">
        <f>K184+J185</f>
        <v/>
      </c>
      <c r="L185" s="47">
        <f>IF(AND(D185=1,K184&lt;0,K185&gt;=0,J185&gt;0),(B184+(-K184/J185))/4,"")</f>
        <v/>
      </c>
    </row>
    <row r="186">
      <c r="A186" s="1" t="n"/>
      <c r="B186" s="45">
        <f>B185+1</f>
        <v/>
      </c>
      <c r="C186" s="45">
        <f>ROUNDUP(B186/4,0)</f>
        <v/>
      </c>
      <c r="D186" s="45">
        <f>IF(B186&lt;=Horizon*4,1,0)</f>
        <v/>
      </c>
      <c r="E186" s="45">
        <f>IF(AND(B186&gt;1,MOD(B186-1,MAX(1,Life)*4)=0),1,0)</f>
        <v/>
      </c>
      <c r="F186" s="7">
        <f>AcceptedWk</f>
        <v/>
      </c>
      <c r="G186" s="7">
        <f>RevenueWk</f>
        <v/>
      </c>
      <c r="H186" s="7">
        <f>-CollectionWk</f>
        <v/>
      </c>
      <c r="I186" s="7">
        <f>-Invest*E186</f>
        <v/>
      </c>
      <c r="J186" s="7">
        <f>G186+H186+I186</f>
        <v/>
      </c>
      <c r="K186" s="7">
        <f>K185+J186</f>
        <v/>
      </c>
      <c r="L186" s="47">
        <f>IF(AND(D186=1,K185&lt;0,K186&gt;=0,J186&gt;0),(B185+(-K185/J186))/4,"")</f>
        <v/>
      </c>
    </row>
    <row r="187">
      <c r="A187" s="1" t="n"/>
      <c r="B187" s="45">
        <f>B186+1</f>
        <v/>
      </c>
      <c r="C187" s="45">
        <f>ROUNDUP(B187/4,0)</f>
        <v/>
      </c>
      <c r="D187" s="45">
        <f>IF(B187&lt;=Horizon*4,1,0)</f>
        <v/>
      </c>
      <c r="E187" s="45">
        <f>IF(AND(B187&gt;1,MOD(B187-1,MAX(1,Life)*4)=0),1,0)</f>
        <v/>
      </c>
      <c r="F187" s="7">
        <f>AcceptedWk</f>
        <v/>
      </c>
      <c r="G187" s="7">
        <f>RevenueWk</f>
        <v/>
      </c>
      <c r="H187" s="7">
        <f>-CollectionWk</f>
        <v/>
      </c>
      <c r="I187" s="7">
        <f>-Invest*E187</f>
        <v/>
      </c>
      <c r="J187" s="7">
        <f>G187+H187+I187</f>
        <v/>
      </c>
      <c r="K187" s="7">
        <f>K186+J187</f>
        <v/>
      </c>
      <c r="L187" s="47">
        <f>IF(AND(D187=1,K186&lt;0,K187&gt;=0,J187&gt;0),(B186+(-K186/J187))/4,"")</f>
        <v/>
      </c>
    </row>
    <row r="188">
      <c r="A188" s="1" t="n"/>
      <c r="B188" s="45">
        <f>B187+1</f>
        <v/>
      </c>
      <c r="C188" s="45">
        <f>ROUNDUP(B188/4,0)</f>
        <v/>
      </c>
      <c r="D188" s="45">
        <f>IF(B188&lt;=Horizon*4,1,0)</f>
        <v/>
      </c>
      <c r="E188" s="45">
        <f>IF(AND(B188&gt;1,MOD(B188-1,MAX(1,Life)*4)=0),1,0)</f>
        <v/>
      </c>
      <c r="F188" s="7">
        <f>AcceptedWk</f>
        <v/>
      </c>
      <c r="G188" s="7">
        <f>RevenueWk</f>
        <v/>
      </c>
      <c r="H188" s="7">
        <f>-CollectionWk</f>
        <v/>
      </c>
      <c r="I188" s="7">
        <f>-Invest*E188</f>
        <v/>
      </c>
      <c r="J188" s="7">
        <f>G188+H188+I188</f>
        <v/>
      </c>
      <c r="K188" s="7">
        <f>K187+J188</f>
        <v/>
      </c>
      <c r="L188" s="47">
        <f>IF(AND(D188=1,K187&lt;0,K188&gt;=0,J188&gt;0),(B187+(-K187/J188))/4,"")</f>
        <v/>
      </c>
    </row>
    <row r="189">
      <c r="A189" s="1" t="n"/>
      <c r="B189" s="45">
        <f>B188+1</f>
        <v/>
      </c>
      <c r="C189" s="45">
        <f>ROUNDUP(B189/4,0)</f>
        <v/>
      </c>
      <c r="D189" s="45">
        <f>IF(B189&lt;=Horizon*4,1,0)</f>
        <v/>
      </c>
      <c r="E189" s="45">
        <f>IF(AND(B189&gt;1,MOD(B189-1,MAX(1,Life)*4)=0),1,0)</f>
        <v/>
      </c>
      <c r="F189" s="7">
        <f>AcceptedWk</f>
        <v/>
      </c>
      <c r="G189" s="7">
        <f>RevenueWk</f>
        <v/>
      </c>
      <c r="H189" s="7">
        <f>-CollectionWk</f>
        <v/>
      </c>
      <c r="I189" s="7">
        <f>-Invest*E189</f>
        <v/>
      </c>
      <c r="J189" s="7">
        <f>G189+H189+I189</f>
        <v/>
      </c>
      <c r="K189" s="7">
        <f>K188+J189</f>
        <v/>
      </c>
      <c r="L189" s="47">
        <f>IF(AND(D189=1,K188&lt;0,K189&gt;=0,J189&gt;0),(B188+(-K188/J189))/4,"")</f>
        <v/>
      </c>
    </row>
    <row r="190">
      <c r="A190" s="1" t="n"/>
      <c r="B190" s="45">
        <f>B189+1</f>
        <v/>
      </c>
      <c r="C190" s="45">
        <f>ROUNDUP(B190/4,0)</f>
        <v/>
      </c>
      <c r="D190" s="45">
        <f>IF(B190&lt;=Horizon*4,1,0)</f>
        <v/>
      </c>
      <c r="E190" s="45">
        <f>IF(AND(B190&gt;1,MOD(B190-1,MAX(1,Life)*4)=0),1,0)</f>
        <v/>
      </c>
      <c r="F190" s="7">
        <f>AcceptedWk</f>
        <v/>
      </c>
      <c r="G190" s="7">
        <f>RevenueWk</f>
        <v/>
      </c>
      <c r="H190" s="7">
        <f>-CollectionWk</f>
        <v/>
      </c>
      <c r="I190" s="7">
        <f>-Invest*E190</f>
        <v/>
      </c>
      <c r="J190" s="7">
        <f>G190+H190+I190</f>
        <v/>
      </c>
      <c r="K190" s="7">
        <f>K189+J190</f>
        <v/>
      </c>
      <c r="L190" s="47">
        <f>IF(AND(D190=1,K189&lt;0,K190&gt;=0,J190&gt;0),(B189+(-K189/J190))/4,"")</f>
        <v/>
      </c>
    </row>
    <row r="191">
      <c r="A191" s="1" t="n"/>
      <c r="B191" s="45">
        <f>B190+1</f>
        <v/>
      </c>
      <c r="C191" s="45">
        <f>ROUNDUP(B191/4,0)</f>
        <v/>
      </c>
      <c r="D191" s="45">
        <f>IF(B191&lt;=Horizon*4,1,0)</f>
        <v/>
      </c>
      <c r="E191" s="45">
        <f>IF(AND(B191&gt;1,MOD(B191-1,MAX(1,Life)*4)=0),1,0)</f>
        <v/>
      </c>
      <c r="F191" s="7">
        <f>AcceptedWk</f>
        <v/>
      </c>
      <c r="G191" s="7">
        <f>RevenueWk</f>
        <v/>
      </c>
      <c r="H191" s="7">
        <f>-CollectionWk</f>
        <v/>
      </c>
      <c r="I191" s="7">
        <f>-Invest*E191</f>
        <v/>
      </c>
      <c r="J191" s="7">
        <f>G191+H191+I191</f>
        <v/>
      </c>
      <c r="K191" s="7">
        <f>K190+J191</f>
        <v/>
      </c>
      <c r="L191" s="47">
        <f>IF(AND(D191=1,K190&lt;0,K191&gt;=0,J191&gt;0),(B190+(-K190/J191))/4,"")</f>
        <v/>
      </c>
    </row>
    <row r="192">
      <c r="A192" s="1" t="n"/>
      <c r="B192" s="45">
        <f>B191+1</f>
        <v/>
      </c>
      <c r="C192" s="45">
        <f>ROUNDUP(B192/4,0)</f>
        <v/>
      </c>
      <c r="D192" s="45">
        <f>IF(B192&lt;=Horizon*4,1,0)</f>
        <v/>
      </c>
      <c r="E192" s="45">
        <f>IF(AND(B192&gt;1,MOD(B192-1,MAX(1,Life)*4)=0),1,0)</f>
        <v/>
      </c>
      <c r="F192" s="7">
        <f>AcceptedWk</f>
        <v/>
      </c>
      <c r="G192" s="7">
        <f>RevenueWk</f>
        <v/>
      </c>
      <c r="H192" s="7">
        <f>-CollectionWk</f>
        <v/>
      </c>
      <c r="I192" s="7">
        <f>-Invest*E192</f>
        <v/>
      </c>
      <c r="J192" s="7">
        <f>G192+H192+I192</f>
        <v/>
      </c>
      <c r="K192" s="7">
        <f>K191+J192</f>
        <v/>
      </c>
      <c r="L192" s="47">
        <f>IF(AND(D192=1,K191&lt;0,K192&gt;=0,J192&gt;0),(B191+(-K191/J192))/4,"")</f>
        <v/>
      </c>
    </row>
    <row r="193">
      <c r="A193" s="1" t="n"/>
      <c r="B193" s="45">
        <f>B192+1</f>
        <v/>
      </c>
      <c r="C193" s="45">
        <f>ROUNDUP(B193/4,0)</f>
        <v/>
      </c>
      <c r="D193" s="45">
        <f>IF(B193&lt;=Horizon*4,1,0)</f>
        <v/>
      </c>
      <c r="E193" s="45">
        <f>IF(AND(B193&gt;1,MOD(B193-1,MAX(1,Life)*4)=0),1,0)</f>
        <v/>
      </c>
      <c r="F193" s="7">
        <f>AcceptedWk</f>
        <v/>
      </c>
      <c r="G193" s="7">
        <f>RevenueWk</f>
        <v/>
      </c>
      <c r="H193" s="7">
        <f>-CollectionWk</f>
        <v/>
      </c>
      <c r="I193" s="7">
        <f>-Invest*E193</f>
        <v/>
      </c>
      <c r="J193" s="7">
        <f>G193+H193+I193</f>
        <v/>
      </c>
      <c r="K193" s="7">
        <f>K192+J193</f>
        <v/>
      </c>
      <c r="L193" s="47">
        <f>IF(AND(D193=1,K192&lt;0,K193&gt;=0,J193&gt;0),(B192+(-K192/J193))/4,"")</f>
        <v/>
      </c>
    </row>
    <row r="194">
      <c r="A194" s="1" t="n"/>
      <c r="B194" s="45">
        <f>B193+1</f>
        <v/>
      </c>
      <c r="C194" s="45">
        <f>ROUNDUP(B194/4,0)</f>
        <v/>
      </c>
      <c r="D194" s="45">
        <f>IF(B194&lt;=Horizon*4,1,0)</f>
        <v/>
      </c>
      <c r="E194" s="45">
        <f>IF(AND(B194&gt;1,MOD(B194-1,MAX(1,Life)*4)=0),1,0)</f>
        <v/>
      </c>
      <c r="F194" s="7">
        <f>AcceptedWk</f>
        <v/>
      </c>
      <c r="G194" s="7">
        <f>RevenueWk</f>
        <v/>
      </c>
      <c r="H194" s="7">
        <f>-CollectionWk</f>
        <v/>
      </c>
      <c r="I194" s="7">
        <f>-Invest*E194</f>
        <v/>
      </c>
      <c r="J194" s="7">
        <f>G194+H194+I194</f>
        <v/>
      </c>
      <c r="K194" s="7">
        <f>K193+J194</f>
        <v/>
      </c>
      <c r="L194" s="47">
        <f>IF(AND(D194=1,K193&lt;0,K194&gt;=0,J194&gt;0),(B193+(-K193/J194))/4,"")</f>
        <v/>
      </c>
    </row>
    <row r="195">
      <c r="A195" s="1" t="n"/>
      <c r="B195" s="45">
        <f>B194+1</f>
        <v/>
      </c>
      <c r="C195" s="45">
        <f>ROUNDUP(B195/4,0)</f>
        <v/>
      </c>
      <c r="D195" s="45">
        <f>IF(B195&lt;=Horizon*4,1,0)</f>
        <v/>
      </c>
      <c r="E195" s="45">
        <f>IF(AND(B195&gt;1,MOD(B195-1,MAX(1,Life)*4)=0),1,0)</f>
        <v/>
      </c>
      <c r="F195" s="7">
        <f>AcceptedWk</f>
        <v/>
      </c>
      <c r="G195" s="7">
        <f>RevenueWk</f>
        <v/>
      </c>
      <c r="H195" s="7">
        <f>-CollectionWk</f>
        <v/>
      </c>
      <c r="I195" s="7">
        <f>-Invest*E195</f>
        <v/>
      </c>
      <c r="J195" s="7">
        <f>G195+H195+I195</f>
        <v/>
      </c>
      <c r="K195" s="7">
        <f>K194+J195</f>
        <v/>
      </c>
      <c r="L195" s="47">
        <f>IF(AND(D195=1,K194&lt;0,K195&gt;=0,J195&gt;0),(B194+(-K194/J195))/4,"")</f>
        <v/>
      </c>
    </row>
    <row r="196">
      <c r="A196" s="1" t="n"/>
      <c r="B196" s="45">
        <f>B195+1</f>
        <v/>
      </c>
      <c r="C196" s="45">
        <f>ROUNDUP(B196/4,0)</f>
        <v/>
      </c>
      <c r="D196" s="45">
        <f>IF(B196&lt;=Horizon*4,1,0)</f>
        <v/>
      </c>
      <c r="E196" s="45">
        <f>IF(AND(B196&gt;1,MOD(B196-1,MAX(1,Life)*4)=0),1,0)</f>
        <v/>
      </c>
      <c r="F196" s="7">
        <f>AcceptedWk</f>
        <v/>
      </c>
      <c r="G196" s="7">
        <f>RevenueWk</f>
        <v/>
      </c>
      <c r="H196" s="7">
        <f>-CollectionWk</f>
        <v/>
      </c>
      <c r="I196" s="7">
        <f>-Invest*E196</f>
        <v/>
      </c>
      <c r="J196" s="7">
        <f>G196+H196+I196</f>
        <v/>
      </c>
      <c r="K196" s="7">
        <f>K195+J196</f>
        <v/>
      </c>
      <c r="L196" s="47">
        <f>IF(AND(D196=1,K195&lt;0,K196&gt;=0,J196&gt;0),(B195+(-K195/J196))/4,"")</f>
        <v/>
      </c>
    </row>
    <row r="197">
      <c r="A197" s="1" t="n"/>
      <c r="B197" s="45">
        <f>B196+1</f>
        <v/>
      </c>
      <c r="C197" s="45">
        <f>ROUNDUP(B197/4,0)</f>
        <v/>
      </c>
      <c r="D197" s="45">
        <f>IF(B197&lt;=Horizon*4,1,0)</f>
        <v/>
      </c>
      <c r="E197" s="45">
        <f>IF(AND(B197&gt;1,MOD(B197-1,MAX(1,Life)*4)=0),1,0)</f>
        <v/>
      </c>
      <c r="F197" s="7">
        <f>AcceptedWk</f>
        <v/>
      </c>
      <c r="G197" s="7">
        <f>RevenueWk</f>
        <v/>
      </c>
      <c r="H197" s="7">
        <f>-CollectionWk</f>
        <v/>
      </c>
      <c r="I197" s="7">
        <f>-Invest*E197</f>
        <v/>
      </c>
      <c r="J197" s="7">
        <f>G197+H197+I197</f>
        <v/>
      </c>
      <c r="K197" s="7">
        <f>K196+J197</f>
        <v/>
      </c>
      <c r="L197" s="47">
        <f>IF(AND(D197=1,K196&lt;0,K197&gt;=0,J197&gt;0),(B196+(-K196/J197))/4,"")</f>
        <v/>
      </c>
    </row>
    <row r="198">
      <c r="A198" s="1" t="n"/>
      <c r="B198" s="45">
        <f>B197+1</f>
        <v/>
      </c>
      <c r="C198" s="45">
        <f>ROUNDUP(B198/4,0)</f>
        <v/>
      </c>
      <c r="D198" s="45">
        <f>IF(B198&lt;=Horizon*4,1,0)</f>
        <v/>
      </c>
      <c r="E198" s="45">
        <f>IF(AND(B198&gt;1,MOD(B198-1,MAX(1,Life)*4)=0),1,0)</f>
        <v/>
      </c>
      <c r="F198" s="7">
        <f>AcceptedWk</f>
        <v/>
      </c>
      <c r="G198" s="7">
        <f>RevenueWk</f>
        <v/>
      </c>
      <c r="H198" s="7">
        <f>-CollectionWk</f>
        <v/>
      </c>
      <c r="I198" s="7">
        <f>-Invest*E198</f>
        <v/>
      </c>
      <c r="J198" s="7">
        <f>G198+H198+I198</f>
        <v/>
      </c>
      <c r="K198" s="7">
        <f>K197+J198</f>
        <v/>
      </c>
      <c r="L198" s="47">
        <f>IF(AND(D198=1,K197&lt;0,K198&gt;=0,J198&gt;0),(B197+(-K197/J198))/4,"")</f>
        <v/>
      </c>
    </row>
    <row r="199">
      <c r="A199" s="1" t="n"/>
      <c r="B199" s="45">
        <f>B198+1</f>
        <v/>
      </c>
      <c r="C199" s="45">
        <f>ROUNDUP(B199/4,0)</f>
        <v/>
      </c>
      <c r="D199" s="45">
        <f>IF(B199&lt;=Horizon*4,1,0)</f>
        <v/>
      </c>
      <c r="E199" s="45">
        <f>IF(AND(B199&gt;1,MOD(B199-1,MAX(1,Life)*4)=0),1,0)</f>
        <v/>
      </c>
      <c r="F199" s="7">
        <f>AcceptedWk</f>
        <v/>
      </c>
      <c r="G199" s="7">
        <f>RevenueWk</f>
        <v/>
      </c>
      <c r="H199" s="7">
        <f>-CollectionWk</f>
        <v/>
      </c>
      <c r="I199" s="7">
        <f>-Invest*E199</f>
        <v/>
      </c>
      <c r="J199" s="7">
        <f>G199+H199+I199</f>
        <v/>
      </c>
      <c r="K199" s="7">
        <f>K198+J199</f>
        <v/>
      </c>
      <c r="L199" s="47">
        <f>IF(AND(D199=1,K198&lt;0,K199&gt;=0,J199&gt;0),(B198+(-K198/J199))/4,"")</f>
        <v/>
      </c>
    </row>
    <row r="200">
      <c r="A200" s="1" t="n"/>
      <c r="B200" s="45">
        <f>B199+1</f>
        <v/>
      </c>
      <c r="C200" s="45">
        <f>ROUNDUP(B200/4,0)</f>
        <v/>
      </c>
      <c r="D200" s="45">
        <f>IF(B200&lt;=Horizon*4,1,0)</f>
        <v/>
      </c>
      <c r="E200" s="45">
        <f>IF(AND(B200&gt;1,MOD(B200-1,MAX(1,Life)*4)=0),1,0)</f>
        <v/>
      </c>
      <c r="F200" s="7">
        <f>AcceptedWk</f>
        <v/>
      </c>
      <c r="G200" s="7">
        <f>RevenueWk</f>
        <v/>
      </c>
      <c r="H200" s="7">
        <f>-CollectionWk</f>
        <v/>
      </c>
      <c r="I200" s="7">
        <f>-Invest*E200</f>
        <v/>
      </c>
      <c r="J200" s="7">
        <f>G200+H200+I200</f>
        <v/>
      </c>
      <c r="K200" s="7">
        <f>K199+J200</f>
        <v/>
      </c>
      <c r="L200" s="47">
        <f>IF(AND(D200=1,K199&lt;0,K200&gt;=0,J200&gt;0),(B199+(-K199/J200))/4,"")</f>
        <v/>
      </c>
    </row>
    <row r="201">
      <c r="A201" s="1" t="n"/>
      <c r="B201" s="45">
        <f>B200+1</f>
        <v/>
      </c>
      <c r="C201" s="45">
        <f>ROUNDUP(B201/4,0)</f>
        <v/>
      </c>
      <c r="D201" s="45">
        <f>IF(B201&lt;=Horizon*4,1,0)</f>
        <v/>
      </c>
      <c r="E201" s="45">
        <f>IF(AND(B201&gt;1,MOD(B201-1,MAX(1,Life)*4)=0),1,0)</f>
        <v/>
      </c>
      <c r="F201" s="7">
        <f>AcceptedWk</f>
        <v/>
      </c>
      <c r="G201" s="7">
        <f>RevenueWk</f>
        <v/>
      </c>
      <c r="H201" s="7">
        <f>-CollectionWk</f>
        <v/>
      </c>
      <c r="I201" s="7">
        <f>-Invest*E201</f>
        <v/>
      </c>
      <c r="J201" s="7">
        <f>G201+H201+I201</f>
        <v/>
      </c>
      <c r="K201" s="7">
        <f>K200+J201</f>
        <v/>
      </c>
      <c r="L201" s="47">
        <f>IF(AND(D201=1,K200&lt;0,K201&gt;=0,J201&gt;0),(B200+(-K200/J201))/4,"")</f>
        <v/>
      </c>
    </row>
    <row r="202">
      <c r="A202" s="1" t="n"/>
      <c r="B202" s="45">
        <f>B201+1</f>
        <v/>
      </c>
      <c r="C202" s="45">
        <f>ROUNDUP(B202/4,0)</f>
        <v/>
      </c>
      <c r="D202" s="45">
        <f>IF(B202&lt;=Horizon*4,1,0)</f>
        <v/>
      </c>
      <c r="E202" s="45">
        <f>IF(AND(B202&gt;1,MOD(B202-1,MAX(1,Life)*4)=0),1,0)</f>
        <v/>
      </c>
      <c r="F202" s="7">
        <f>AcceptedWk</f>
        <v/>
      </c>
      <c r="G202" s="7">
        <f>RevenueWk</f>
        <v/>
      </c>
      <c r="H202" s="7">
        <f>-CollectionWk</f>
        <v/>
      </c>
      <c r="I202" s="7">
        <f>-Invest*E202</f>
        <v/>
      </c>
      <c r="J202" s="7">
        <f>G202+H202+I202</f>
        <v/>
      </c>
      <c r="K202" s="7">
        <f>K201+J202</f>
        <v/>
      </c>
      <c r="L202" s="47">
        <f>IF(AND(D202=1,K201&lt;0,K202&gt;=0,J202&gt;0),(B201+(-K201/J202))/4,"")</f>
        <v/>
      </c>
    </row>
    <row r="203">
      <c r="A203" s="1" t="n"/>
      <c r="B203" s="45">
        <f>B202+1</f>
        <v/>
      </c>
      <c r="C203" s="45">
        <f>ROUNDUP(B203/4,0)</f>
        <v/>
      </c>
      <c r="D203" s="45">
        <f>IF(B203&lt;=Horizon*4,1,0)</f>
        <v/>
      </c>
      <c r="E203" s="45">
        <f>IF(AND(B203&gt;1,MOD(B203-1,MAX(1,Life)*4)=0),1,0)</f>
        <v/>
      </c>
      <c r="F203" s="7">
        <f>AcceptedWk</f>
        <v/>
      </c>
      <c r="G203" s="7">
        <f>RevenueWk</f>
        <v/>
      </c>
      <c r="H203" s="7">
        <f>-CollectionWk</f>
        <v/>
      </c>
      <c r="I203" s="7">
        <f>-Invest*E203</f>
        <v/>
      </c>
      <c r="J203" s="7">
        <f>G203+H203+I203</f>
        <v/>
      </c>
      <c r="K203" s="7">
        <f>K202+J203</f>
        <v/>
      </c>
      <c r="L203" s="47">
        <f>IF(AND(D203=1,K202&lt;0,K203&gt;=0,J203&gt;0),(B202+(-K202/J203))/4,"")</f>
        <v/>
      </c>
    </row>
    <row r="204">
      <c r="A204" s="1" t="n"/>
      <c r="B204" s="45">
        <f>B203+1</f>
        <v/>
      </c>
      <c r="C204" s="45">
        <f>ROUNDUP(B204/4,0)</f>
        <v/>
      </c>
      <c r="D204" s="45">
        <f>IF(B204&lt;=Horizon*4,1,0)</f>
        <v/>
      </c>
      <c r="E204" s="45">
        <f>IF(AND(B204&gt;1,MOD(B204-1,MAX(1,Life)*4)=0),1,0)</f>
        <v/>
      </c>
      <c r="F204" s="7">
        <f>AcceptedWk</f>
        <v/>
      </c>
      <c r="G204" s="7">
        <f>RevenueWk</f>
        <v/>
      </c>
      <c r="H204" s="7">
        <f>-CollectionWk</f>
        <v/>
      </c>
      <c r="I204" s="7">
        <f>-Invest*E204</f>
        <v/>
      </c>
      <c r="J204" s="7">
        <f>G204+H204+I204</f>
        <v/>
      </c>
      <c r="K204" s="7">
        <f>K203+J204</f>
        <v/>
      </c>
      <c r="L204" s="47">
        <f>IF(AND(D204=1,K203&lt;0,K204&gt;=0,J204&gt;0),(B203+(-K203/J204))/4,"")</f>
        <v/>
      </c>
    </row>
    <row r="205">
      <c r="A205" s="1" t="n"/>
      <c r="B205" s="45">
        <f>B204+1</f>
        <v/>
      </c>
      <c r="C205" s="45">
        <f>ROUNDUP(B205/4,0)</f>
        <v/>
      </c>
      <c r="D205" s="45">
        <f>IF(B205&lt;=Horizon*4,1,0)</f>
        <v/>
      </c>
      <c r="E205" s="45">
        <f>IF(AND(B205&gt;1,MOD(B205-1,MAX(1,Life)*4)=0),1,0)</f>
        <v/>
      </c>
      <c r="F205" s="7">
        <f>AcceptedWk</f>
        <v/>
      </c>
      <c r="G205" s="7">
        <f>RevenueWk</f>
        <v/>
      </c>
      <c r="H205" s="7">
        <f>-CollectionWk</f>
        <v/>
      </c>
      <c r="I205" s="7">
        <f>-Invest*E205</f>
        <v/>
      </c>
      <c r="J205" s="7">
        <f>G205+H205+I205</f>
        <v/>
      </c>
      <c r="K205" s="7">
        <f>K204+J205</f>
        <v/>
      </c>
      <c r="L205" s="47">
        <f>IF(AND(D205=1,K204&lt;0,K205&gt;=0,J205&gt;0),(B204+(-K204/J205))/4,"")</f>
        <v/>
      </c>
    </row>
    <row r="206">
      <c r="A206" s="1" t="n"/>
      <c r="B206" s="45">
        <f>B205+1</f>
        <v/>
      </c>
      <c r="C206" s="45">
        <f>ROUNDUP(B206/4,0)</f>
        <v/>
      </c>
      <c r="D206" s="45">
        <f>IF(B206&lt;=Horizon*4,1,0)</f>
        <v/>
      </c>
      <c r="E206" s="45">
        <f>IF(AND(B206&gt;1,MOD(B206-1,MAX(1,Life)*4)=0),1,0)</f>
        <v/>
      </c>
      <c r="F206" s="7">
        <f>AcceptedWk</f>
        <v/>
      </c>
      <c r="G206" s="7">
        <f>RevenueWk</f>
        <v/>
      </c>
      <c r="H206" s="7">
        <f>-CollectionWk</f>
        <v/>
      </c>
      <c r="I206" s="7">
        <f>-Invest*E206</f>
        <v/>
      </c>
      <c r="J206" s="7">
        <f>G206+H206+I206</f>
        <v/>
      </c>
      <c r="K206" s="7">
        <f>K205+J206</f>
        <v/>
      </c>
      <c r="L206" s="47">
        <f>IF(AND(D206=1,K205&lt;0,K206&gt;=0,J206&gt;0),(B205+(-K205/J206))/4,"")</f>
        <v/>
      </c>
    </row>
    <row r="207">
      <c r="A207" s="1" t="n"/>
      <c r="B207" s="45">
        <f>B206+1</f>
        <v/>
      </c>
      <c r="C207" s="45">
        <f>ROUNDUP(B207/4,0)</f>
        <v/>
      </c>
      <c r="D207" s="45">
        <f>IF(B207&lt;=Horizon*4,1,0)</f>
        <v/>
      </c>
      <c r="E207" s="45">
        <f>IF(AND(B207&gt;1,MOD(B207-1,MAX(1,Life)*4)=0),1,0)</f>
        <v/>
      </c>
      <c r="F207" s="7">
        <f>AcceptedWk</f>
        <v/>
      </c>
      <c r="G207" s="7">
        <f>RevenueWk</f>
        <v/>
      </c>
      <c r="H207" s="7">
        <f>-CollectionWk</f>
        <v/>
      </c>
      <c r="I207" s="7">
        <f>-Invest*E207</f>
        <v/>
      </c>
      <c r="J207" s="7">
        <f>G207+H207+I207</f>
        <v/>
      </c>
      <c r="K207" s="7">
        <f>K206+J207</f>
        <v/>
      </c>
      <c r="L207" s="47">
        <f>IF(AND(D207=1,K206&lt;0,K207&gt;=0,J207&gt;0),(B206+(-K206/J207))/4,"")</f>
        <v/>
      </c>
    </row>
    <row r="208">
      <c r="A208" s="1" t="n"/>
      <c r="B208" s="45">
        <f>B207+1</f>
        <v/>
      </c>
      <c r="C208" s="45">
        <f>ROUNDUP(B208/4,0)</f>
        <v/>
      </c>
      <c r="D208" s="45">
        <f>IF(B208&lt;=Horizon*4,1,0)</f>
        <v/>
      </c>
      <c r="E208" s="45">
        <f>IF(AND(B208&gt;1,MOD(B208-1,MAX(1,Life)*4)=0),1,0)</f>
        <v/>
      </c>
      <c r="F208" s="7">
        <f>AcceptedWk</f>
        <v/>
      </c>
      <c r="G208" s="7">
        <f>RevenueWk</f>
        <v/>
      </c>
      <c r="H208" s="7">
        <f>-CollectionWk</f>
        <v/>
      </c>
      <c r="I208" s="7">
        <f>-Invest*E208</f>
        <v/>
      </c>
      <c r="J208" s="7">
        <f>G208+H208+I208</f>
        <v/>
      </c>
      <c r="K208" s="7">
        <f>K207+J208</f>
        <v/>
      </c>
      <c r="L208" s="47">
        <f>IF(AND(D208=1,K207&lt;0,K208&gt;=0,J208&gt;0),(B207+(-K207/J208))/4,"")</f>
        <v/>
      </c>
    </row>
    <row r="209">
      <c r="A209" s="1" t="n"/>
      <c r="B209" s="45">
        <f>B208+1</f>
        <v/>
      </c>
      <c r="C209" s="45">
        <f>ROUNDUP(B209/4,0)</f>
        <v/>
      </c>
      <c r="D209" s="45">
        <f>IF(B209&lt;=Horizon*4,1,0)</f>
        <v/>
      </c>
      <c r="E209" s="45">
        <f>IF(AND(B209&gt;1,MOD(B209-1,MAX(1,Life)*4)=0),1,0)</f>
        <v/>
      </c>
      <c r="F209" s="7">
        <f>AcceptedWk</f>
        <v/>
      </c>
      <c r="G209" s="7">
        <f>RevenueWk</f>
        <v/>
      </c>
      <c r="H209" s="7">
        <f>-CollectionWk</f>
        <v/>
      </c>
      <c r="I209" s="7">
        <f>-Invest*E209</f>
        <v/>
      </c>
      <c r="J209" s="7">
        <f>G209+H209+I209</f>
        <v/>
      </c>
      <c r="K209" s="7">
        <f>K208+J209</f>
        <v/>
      </c>
      <c r="L209" s="47">
        <f>IF(AND(D209=1,K208&lt;0,K209&gt;=0,J209&gt;0),(B208+(-K208/J209))/4,"")</f>
        <v/>
      </c>
    </row>
    <row r="210">
      <c r="A210" s="1" t="n"/>
      <c r="B210" s="45">
        <f>B209+1</f>
        <v/>
      </c>
      <c r="C210" s="45">
        <f>ROUNDUP(B210/4,0)</f>
        <v/>
      </c>
      <c r="D210" s="45">
        <f>IF(B210&lt;=Horizon*4,1,0)</f>
        <v/>
      </c>
      <c r="E210" s="45">
        <f>IF(AND(B210&gt;1,MOD(B210-1,MAX(1,Life)*4)=0),1,0)</f>
        <v/>
      </c>
      <c r="F210" s="7">
        <f>AcceptedWk</f>
        <v/>
      </c>
      <c r="G210" s="7">
        <f>RevenueWk</f>
        <v/>
      </c>
      <c r="H210" s="7">
        <f>-CollectionWk</f>
        <v/>
      </c>
      <c r="I210" s="7">
        <f>-Invest*E210</f>
        <v/>
      </c>
      <c r="J210" s="7">
        <f>G210+H210+I210</f>
        <v/>
      </c>
      <c r="K210" s="7">
        <f>K209+J210</f>
        <v/>
      </c>
      <c r="L210" s="47">
        <f>IF(AND(D210=1,K209&lt;0,K210&gt;=0,J210&gt;0),(B209+(-K209/J210))/4,"")</f>
        <v/>
      </c>
    </row>
    <row r="211">
      <c r="A211" s="1" t="n"/>
      <c r="B211" s="45">
        <f>B210+1</f>
        <v/>
      </c>
      <c r="C211" s="45">
        <f>ROUNDUP(B211/4,0)</f>
        <v/>
      </c>
      <c r="D211" s="45">
        <f>IF(B211&lt;=Horizon*4,1,0)</f>
        <v/>
      </c>
      <c r="E211" s="45">
        <f>IF(AND(B211&gt;1,MOD(B211-1,MAX(1,Life)*4)=0),1,0)</f>
        <v/>
      </c>
      <c r="F211" s="7">
        <f>AcceptedWk</f>
        <v/>
      </c>
      <c r="G211" s="7">
        <f>RevenueWk</f>
        <v/>
      </c>
      <c r="H211" s="7">
        <f>-CollectionWk</f>
        <v/>
      </c>
      <c r="I211" s="7">
        <f>-Invest*E211</f>
        <v/>
      </c>
      <c r="J211" s="7">
        <f>G211+H211+I211</f>
        <v/>
      </c>
      <c r="K211" s="7">
        <f>K210+J211</f>
        <v/>
      </c>
      <c r="L211" s="47">
        <f>IF(AND(D211=1,K210&lt;0,K211&gt;=0,J211&gt;0),(B210+(-K210/J211))/4,"")</f>
        <v/>
      </c>
    </row>
    <row r="212">
      <c r="A212" s="1" t="n"/>
      <c r="B212" s="45">
        <f>B211+1</f>
        <v/>
      </c>
      <c r="C212" s="45">
        <f>ROUNDUP(B212/4,0)</f>
        <v/>
      </c>
      <c r="D212" s="45">
        <f>IF(B212&lt;=Horizon*4,1,0)</f>
        <v/>
      </c>
      <c r="E212" s="45">
        <f>IF(AND(B212&gt;1,MOD(B212-1,MAX(1,Life)*4)=0),1,0)</f>
        <v/>
      </c>
      <c r="F212" s="7">
        <f>AcceptedWk</f>
        <v/>
      </c>
      <c r="G212" s="7">
        <f>RevenueWk</f>
        <v/>
      </c>
      <c r="H212" s="7">
        <f>-CollectionWk</f>
        <v/>
      </c>
      <c r="I212" s="7">
        <f>-Invest*E212</f>
        <v/>
      </c>
      <c r="J212" s="7">
        <f>G212+H212+I212</f>
        <v/>
      </c>
      <c r="K212" s="7">
        <f>K211+J212</f>
        <v/>
      </c>
      <c r="L212" s="47">
        <f>IF(AND(D212=1,K211&lt;0,K212&gt;=0,J212&gt;0),(B211+(-K211/J212))/4,"")</f>
        <v/>
      </c>
    </row>
    <row r="213">
      <c r="A213" s="1" t="n"/>
      <c r="B213" s="45">
        <f>B212+1</f>
        <v/>
      </c>
      <c r="C213" s="45">
        <f>ROUNDUP(B213/4,0)</f>
        <v/>
      </c>
      <c r="D213" s="45">
        <f>IF(B213&lt;=Horizon*4,1,0)</f>
        <v/>
      </c>
      <c r="E213" s="45">
        <f>IF(AND(B213&gt;1,MOD(B213-1,MAX(1,Life)*4)=0),1,0)</f>
        <v/>
      </c>
      <c r="F213" s="7">
        <f>AcceptedWk</f>
        <v/>
      </c>
      <c r="G213" s="7">
        <f>RevenueWk</f>
        <v/>
      </c>
      <c r="H213" s="7">
        <f>-CollectionWk</f>
        <v/>
      </c>
      <c r="I213" s="7">
        <f>-Invest*E213</f>
        <v/>
      </c>
      <c r="J213" s="7">
        <f>G213+H213+I213</f>
        <v/>
      </c>
      <c r="K213" s="7">
        <f>K212+J213</f>
        <v/>
      </c>
      <c r="L213" s="47">
        <f>IF(AND(D213=1,K212&lt;0,K213&gt;=0,J213&gt;0),(B212+(-K212/J213))/4,"")</f>
        <v/>
      </c>
    </row>
    <row r="214">
      <c r="A214" s="1" t="n"/>
      <c r="B214" s="45">
        <f>B213+1</f>
        <v/>
      </c>
      <c r="C214" s="45">
        <f>ROUNDUP(B214/4,0)</f>
        <v/>
      </c>
      <c r="D214" s="45">
        <f>IF(B214&lt;=Horizon*4,1,0)</f>
        <v/>
      </c>
      <c r="E214" s="45">
        <f>IF(AND(B214&gt;1,MOD(B214-1,MAX(1,Life)*4)=0),1,0)</f>
        <v/>
      </c>
      <c r="F214" s="7">
        <f>AcceptedWk</f>
        <v/>
      </c>
      <c r="G214" s="7">
        <f>RevenueWk</f>
        <v/>
      </c>
      <c r="H214" s="7">
        <f>-CollectionWk</f>
        <v/>
      </c>
      <c r="I214" s="7">
        <f>-Invest*E214</f>
        <v/>
      </c>
      <c r="J214" s="7">
        <f>G214+H214+I214</f>
        <v/>
      </c>
      <c r="K214" s="7">
        <f>K213+J214</f>
        <v/>
      </c>
      <c r="L214" s="47">
        <f>IF(AND(D214=1,K213&lt;0,K214&gt;=0,J214&gt;0),(B213+(-K213/J214))/4,"")</f>
        <v/>
      </c>
    </row>
    <row r="215">
      <c r="A215" s="1" t="n"/>
      <c r="B215" s="45">
        <f>B214+1</f>
        <v/>
      </c>
      <c r="C215" s="45">
        <f>ROUNDUP(B215/4,0)</f>
        <v/>
      </c>
      <c r="D215" s="45">
        <f>IF(B215&lt;=Horizon*4,1,0)</f>
        <v/>
      </c>
      <c r="E215" s="45">
        <f>IF(AND(B215&gt;1,MOD(B215-1,MAX(1,Life)*4)=0),1,0)</f>
        <v/>
      </c>
      <c r="F215" s="7">
        <f>AcceptedWk</f>
        <v/>
      </c>
      <c r="G215" s="7">
        <f>RevenueWk</f>
        <v/>
      </c>
      <c r="H215" s="7">
        <f>-CollectionWk</f>
        <v/>
      </c>
      <c r="I215" s="7">
        <f>-Invest*E215</f>
        <v/>
      </c>
      <c r="J215" s="7">
        <f>G215+H215+I215</f>
        <v/>
      </c>
      <c r="K215" s="7">
        <f>K214+J215</f>
        <v/>
      </c>
      <c r="L215" s="47">
        <f>IF(AND(D215=1,K214&lt;0,K215&gt;=0,J215&gt;0),(B214+(-K214/J215))/4,"")</f>
        <v/>
      </c>
    </row>
    <row r="216">
      <c r="A216" s="1" t="n"/>
      <c r="B216" s="45">
        <f>B215+1</f>
        <v/>
      </c>
      <c r="C216" s="45">
        <f>ROUNDUP(B216/4,0)</f>
        <v/>
      </c>
      <c r="D216" s="45">
        <f>IF(B216&lt;=Horizon*4,1,0)</f>
        <v/>
      </c>
      <c r="E216" s="45">
        <f>IF(AND(B216&gt;1,MOD(B216-1,MAX(1,Life)*4)=0),1,0)</f>
        <v/>
      </c>
      <c r="F216" s="7">
        <f>AcceptedWk</f>
        <v/>
      </c>
      <c r="G216" s="7">
        <f>RevenueWk</f>
        <v/>
      </c>
      <c r="H216" s="7">
        <f>-CollectionWk</f>
        <v/>
      </c>
      <c r="I216" s="7">
        <f>-Invest*E216</f>
        <v/>
      </c>
      <c r="J216" s="7">
        <f>G216+H216+I216</f>
        <v/>
      </c>
      <c r="K216" s="7">
        <f>K215+J216</f>
        <v/>
      </c>
      <c r="L216" s="47">
        <f>IF(AND(D216=1,K215&lt;0,K216&gt;=0,J216&gt;0),(B215+(-K215/J216))/4,"")</f>
        <v/>
      </c>
    </row>
    <row r="217">
      <c r="A217" s="1" t="n"/>
      <c r="B217" s="45">
        <f>B216+1</f>
        <v/>
      </c>
      <c r="C217" s="45">
        <f>ROUNDUP(B217/4,0)</f>
        <v/>
      </c>
      <c r="D217" s="45">
        <f>IF(B217&lt;=Horizon*4,1,0)</f>
        <v/>
      </c>
      <c r="E217" s="45">
        <f>IF(AND(B217&gt;1,MOD(B217-1,MAX(1,Life)*4)=0),1,0)</f>
        <v/>
      </c>
      <c r="F217" s="7">
        <f>AcceptedWk</f>
        <v/>
      </c>
      <c r="G217" s="7">
        <f>RevenueWk</f>
        <v/>
      </c>
      <c r="H217" s="7">
        <f>-CollectionWk</f>
        <v/>
      </c>
      <c r="I217" s="7">
        <f>-Invest*E217</f>
        <v/>
      </c>
      <c r="J217" s="7">
        <f>G217+H217+I217</f>
        <v/>
      </c>
      <c r="K217" s="7">
        <f>K216+J217</f>
        <v/>
      </c>
      <c r="L217" s="47">
        <f>IF(AND(D217=1,K216&lt;0,K217&gt;=0,J217&gt;0),(B216+(-K216/J217))/4,"")</f>
        <v/>
      </c>
    </row>
    <row r="218">
      <c r="A218" s="1" t="n"/>
      <c r="B218" s="45">
        <f>B217+1</f>
        <v/>
      </c>
      <c r="C218" s="45">
        <f>ROUNDUP(B218/4,0)</f>
        <v/>
      </c>
      <c r="D218" s="45">
        <f>IF(B218&lt;=Horizon*4,1,0)</f>
        <v/>
      </c>
      <c r="E218" s="45">
        <f>IF(AND(B218&gt;1,MOD(B218-1,MAX(1,Life)*4)=0),1,0)</f>
        <v/>
      </c>
      <c r="F218" s="7">
        <f>AcceptedWk</f>
        <v/>
      </c>
      <c r="G218" s="7">
        <f>RevenueWk</f>
        <v/>
      </c>
      <c r="H218" s="7">
        <f>-CollectionWk</f>
        <v/>
      </c>
      <c r="I218" s="7">
        <f>-Invest*E218</f>
        <v/>
      </c>
      <c r="J218" s="7">
        <f>G218+H218+I218</f>
        <v/>
      </c>
      <c r="K218" s="7">
        <f>K217+J218</f>
        <v/>
      </c>
      <c r="L218" s="47">
        <f>IF(AND(D218=1,K217&lt;0,K218&gt;=0,J218&gt;0),(B217+(-K217/J218))/4,"")</f>
        <v/>
      </c>
    </row>
    <row r="219">
      <c r="A219" s="1" t="n"/>
      <c r="B219" s="45">
        <f>B218+1</f>
        <v/>
      </c>
      <c r="C219" s="45">
        <f>ROUNDUP(B219/4,0)</f>
        <v/>
      </c>
      <c r="D219" s="45">
        <f>IF(B219&lt;=Horizon*4,1,0)</f>
        <v/>
      </c>
      <c r="E219" s="45">
        <f>IF(AND(B219&gt;1,MOD(B219-1,MAX(1,Life)*4)=0),1,0)</f>
        <v/>
      </c>
      <c r="F219" s="7">
        <f>AcceptedWk</f>
        <v/>
      </c>
      <c r="G219" s="7">
        <f>RevenueWk</f>
        <v/>
      </c>
      <c r="H219" s="7">
        <f>-CollectionWk</f>
        <v/>
      </c>
      <c r="I219" s="7">
        <f>-Invest*E219</f>
        <v/>
      </c>
      <c r="J219" s="7">
        <f>G219+H219+I219</f>
        <v/>
      </c>
      <c r="K219" s="7">
        <f>K218+J219</f>
        <v/>
      </c>
      <c r="L219" s="47">
        <f>IF(AND(D219=1,K218&lt;0,K219&gt;=0,J219&gt;0),(B218+(-K218/J219))/4,"")</f>
        <v/>
      </c>
    </row>
    <row r="220">
      <c r="A220" s="1" t="n"/>
      <c r="B220" s="45">
        <f>B219+1</f>
        <v/>
      </c>
      <c r="C220" s="45">
        <f>ROUNDUP(B220/4,0)</f>
        <v/>
      </c>
      <c r="D220" s="45">
        <f>IF(B220&lt;=Horizon*4,1,0)</f>
        <v/>
      </c>
      <c r="E220" s="45">
        <f>IF(AND(B220&gt;1,MOD(B220-1,MAX(1,Life)*4)=0),1,0)</f>
        <v/>
      </c>
      <c r="F220" s="7">
        <f>AcceptedWk</f>
        <v/>
      </c>
      <c r="G220" s="7">
        <f>RevenueWk</f>
        <v/>
      </c>
      <c r="H220" s="7">
        <f>-CollectionWk</f>
        <v/>
      </c>
      <c r="I220" s="7">
        <f>-Invest*E220</f>
        <v/>
      </c>
      <c r="J220" s="7">
        <f>G220+H220+I220</f>
        <v/>
      </c>
      <c r="K220" s="7">
        <f>K219+J220</f>
        <v/>
      </c>
      <c r="L220" s="47">
        <f>IF(AND(D220=1,K219&lt;0,K220&gt;=0,J220&gt;0),(B219+(-K219/J220))/4,"")</f>
        <v/>
      </c>
    </row>
    <row r="221">
      <c r="A221" s="1" t="n"/>
      <c r="B221" s="45">
        <f>B220+1</f>
        <v/>
      </c>
      <c r="C221" s="45">
        <f>ROUNDUP(B221/4,0)</f>
        <v/>
      </c>
      <c r="D221" s="45">
        <f>IF(B221&lt;=Horizon*4,1,0)</f>
        <v/>
      </c>
      <c r="E221" s="45">
        <f>IF(AND(B221&gt;1,MOD(B221-1,MAX(1,Life)*4)=0),1,0)</f>
        <v/>
      </c>
      <c r="F221" s="7">
        <f>AcceptedWk</f>
        <v/>
      </c>
      <c r="G221" s="7">
        <f>RevenueWk</f>
        <v/>
      </c>
      <c r="H221" s="7">
        <f>-CollectionWk</f>
        <v/>
      </c>
      <c r="I221" s="7">
        <f>-Invest*E221</f>
        <v/>
      </c>
      <c r="J221" s="7">
        <f>G221+H221+I221</f>
        <v/>
      </c>
      <c r="K221" s="7">
        <f>K220+J221</f>
        <v/>
      </c>
      <c r="L221" s="47">
        <f>IF(AND(D221=1,K220&lt;0,K221&gt;=0,J221&gt;0),(B220+(-K220/J221))/4,"")</f>
        <v/>
      </c>
    </row>
    <row r="222">
      <c r="A222" s="1" t="n"/>
      <c r="B222" s="45">
        <f>B221+1</f>
        <v/>
      </c>
      <c r="C222" s="45">
        <f>ROUNDUP(B222/4,0)</f>
        <v/>
      </c>
      <c r="D222" s="45">
        <f>IF(B222&lt;=Horizon*4,1,0)</f>
        <v/>
      </c>
      <c r="E222" s="45">
        <f>IF(AND(B222&gt;1,MOD(B222-1,MAX(1,Life)*4)=0),1,0)</f>
        <v/>
      </c>
      <c r="F222" s="7">
        <f>AcceptedWk</f>
        <v/>
      </c>
      <c r="G222" s="7">
        <f>RevenueWk</f>
        <v/>
      </c>
      <c r="H222" s="7">
        <f>-CollectionWk</f>
        <v/>
      </c>
      <c r="I222" s="7">
        <f>-Invest*E222</f>
        <v/>
      </c>
      <c r="J222" s="7">
        <f>G222+H222+I222</f>
        <v/>
      </c>
      <c r="K222" s="7">
        <f>K221+J222</f>
        <v/>
      </c>
      <c r="L222" s="47">
        <f>IF(AND(D222=1,K221&lt;0,K222&gt;=0,J222&gt;0),(B221+(-K221/J222))/4,"")</f>
        <v/>
      </c>
    </row>
    <row r="223">
      <c r="A223" s="1" t="n"/>
      <c r="B223" s="45">
        <f>B222+1</f>
        <v/>
      </c>
      <c r="C223" s="45">
        <f>ROUNDUP(B223/4,0)</f>
        <v/>
      </c>
      <c r="D223" s="45">
        <f>IF(B223&lt;=Horizon*4,1,0)</f>
        <v/>
      </c>
      <c r="E223" s="45">
        <f>IF(AND(B223&gt;1,MOD(B223-1,MAX(1,Life)*4)=0),1,0)</f>
        <v/>
      </c>
      <c r="F223" s="7">
        <f>AcceptedWk</f>
        <v/>
      </c>
      <c r="G223" s="7">
        <f>RevenueWk</f>
        <v/>
      </c>
      <c r="H223" s="7">
        <f>-CollectionWk</f>
        <v/>
      </c>
      <c r="I223" s="7">
        <f>-Invest*E223</f>
        <v/>
      </c>
      <c r="J223" s="7">
        <f>G223+H223+I223</f>
        <v/>
      </c>
      <c r="K223" s="7">
        <f>K222+J223</f>
        <v/>
      </c>
      <c r="L223" s="47">
        <f>IF(AND(D223=1,K222&lt;0,K223&gt;=0,J223&gt;0),(B222+(-K222/J223))/4,"")</f>
        <v/>
      </c>
    </row>
    <row r="224">
      <c r="A224" s="1" t="n"/>
      <c r="B224" s="45">
        <f>B223+1</f>
        <v/>
      </c>
      <c r="C224" s="45">
        <f>ROUNDUP(B224/4,0)</f>
        <v/>
      </c>
      <c r="D224" s="45">
        <f>IF(B224&lt;=Horizon*4,1,0)</f>
        <v/>
      </c>
      <c r="E224" s="45">
        <f>IF(AND(B224&gt;1,MOD(B224-1,MAX(1,Life)*4)=0),1,0)</f>
        <v/>
      </c>
      <c r="F224" s="7">
        <f>AcceptedWk</f>
        <v/>
      </c>
      <c r="G224" s="7">
        <f>RevenueWk</f>
        <v/>
      </c>
      <c r="H224" s="7">
        <f>-CollectionWk</f>
        <v/>
      </c>
      <c r="I224" s="7">
        <f>-Invest*E224</f>
        <v/>
      </c>
      <c r="J224" s="7">
        <f>G224+H224+I224</f>
        <v/>
      </c>
      <c r="K224" s="7">
        <f>K223+J224</f>
        <v/>
      </c>
      <c r="L224" s="47">
        <f>IF(AND(D224=1,K223&lt;0,K224&gt;=0,J224&gt;0),(B223+(-K223/J224))/4,"")</f>
        <v/>
      </c>
    </row>
    <row r="225">
      <c r="A225" s="1" t="n"/>
      <c r="B225" s="45">
        <f>B224+1</f>
        <v/>
      </c>
      <c r="C225" s="45">
        <f>ROUNDUP(B225/4,0)</f>
        <v/>
      </c>
      <c r="D225" s="45">
        <f>IF(B225&lt;=Horizon*4,1,0)</f>
        <v/>
      </c>
      <c r="E225" s="45">
        <f>IF(AND(B225&gt;1,MOD(B225-1,MAX(1,Life)*4)=0),1,0)</f>
        <v/>
      </c>
      <c r="F225" s="7">
        <f>AcceptedWk</f>
        <v/>
      </c>
      <c r="G225" s="7">
        <f>RevenueWk</f>
        <v/>
      </c>
      <c r="H225" s="7">
        <f>-CollectionWk</f>
        <v/>
      </c>
      <c r="I225" s="7">
        <f>-Invest*E225</f>
        <v/>
      </c>
      <c r="J225" s="7">
        <f>G225+H225+I225</f>
        <v/>
      </c>
      <c r="K225" s="7">
        <f>K224+J225</f>
        <v/>
      </c>
      <c r="L225" s="47">
        <f>IF(AND(D225=1,K224&lt;0,K225&gt;=0,J225&gt;0),(B224+(-K224/J225))/4,"")</f>
        <v/>
      </c>
    </row>
    <row r="226">
      <c r="A226" s="1" t="n"/>
      <c r="B226" s="45">
        <f>B225+1</f>
        <v/>
      </c>
      <c r="C226" s="45">
        <f>ROUNDUP(B226/4,0)</f>
        <v/>
      </c>
      <c r="D226" s="45">
        <f>IF(B226&lt;=Horizon*4,1,0)</f>
        <v/>
      </c>
      <c r="E226" s="45">
        <f>IF(AND(B226&gt;1,MOD(B226-1,MAX(1,Life)*4)=0),1,0)</f>
        <v/>
      </c>
      <c r="F226" s="7">
        <f>AcceptedWk</f>
        <v/>
      </c>
      <c r="G226" s="7">
        <f>RevenueWk</f>
        <v/>
      </c>
      <c r="H226" s="7">
        <f>-CollectionWk</f>
        <v/>
      </c>
      <c r="I226" s="7">
        <f>-Invest*E226</f>
        <v/>
      </c>
      <c r="J226" s="7">
        <f>G226+H226+I226</f>
        <v/>
      </c>
      <c r="K226" s="7">
        <f>K225+J226</f>
        <v/>
      </c>
      <c r="L226" s="47">
        <f>IF(AND(D226=1,K225&lt;0,K226&gt;=0,J226&gt;0),(B225+(-K225/J226))/4,"")</f>
        <v/>
      </c>
    </row>
    <row r="227">
      <c r="A227" s="1" t="n"/>
      <c r="B227" s="45">
        <f>B226+1</f>
        <v/>
      </c>
      <c r="C227" s="45">
        <f>ROUNDUP(B227/4,0)</f>
        <v/>
      </c>
      <c r="D227" s="45">
        <f>IF(B227&lt;=Horizon*4,1,0)</f>
        <v/>
      </c>
      <c r="E227" s="45">
        <f>IF(AND(B227&gt;1,MOD(B227-1,MAX(1,Life)*4)=0),1,0)</f>
        <v/>
      </c>
      <c r="F227" s="7">
        <f>AcceptedWk</f>
        <v/>
      </c>
      <c r="G227" s="7">
        <f>RevenueWk</f>
        <v/>
      </c>
      <c r="H227" s="7">
        <f>-CollectionWk</f>
        <v/>
      </c>
      <c r="I227" s="7">
        <f>-Invest*E227</f>
        <v/>
      </c>
      <c r="J227" s="7">
        <f>G227+H227+I227</f>
        <v/>
      </c>
      <c r="K227" s="7">
        <f>K226+J227</f>
        <v/>
      </c>
      <c r="L227" s="47">
        <f>IF(AND(D227=1,K226&lt;0,K227&gt;=0,J227&gt;0),(B226+(-K226/J227))/4,"")</f>
        <v/>
      </c>
    </row>
    <row r="228">
      <c r="A228" s="1" t="n"/>
      <c r="B228" s="45">
        <f>B227+1</f>
        <v/>
      </c>
      <c r="C228" s="45">
        <f>ROUNDUP(B228/4,0)</f>
        <v/>
      </c>
      <c r="D228" s="45">
        <f>IF(B228&lt;=Horizon*4,1,0)</f>
        <v/>
      </c>
      <c r="E228" s="45">
        <f>IF(AND(B228&gt;1,MOD(B228-1,MAX(1,Life)*4)=0),1,0)</f>
        <v/>
      </c>
      <c r="F228" s="7">
        <f>AcceptedWk</f>
        <v/>
      </c>
      <c r="G228" s="7">
        <f>RevenueWk</f>
        <v/>
      </c>
      <c r="H228" s="7">
        <f>-CollectionWk</f>
        <v/>
      </c>
      <c r="I228" s="7">
        <f>-Invest*E228</f>
        <v/>
      </c>
      <c r="J228" s="7">
        <f>G228+H228+I228</f>
        <v/>
      </c>
      <c r="K228" s="7">
        <f>K227+J228</f>
        <v/>
      </c>
      <c r="L228" s="47">
        <f>IF(AND(D228=1,K227&lt;0,K228&gt;=0,J228&gt;0),(B227+(-K227/J228))/4,"")</f>
        <v/>
      </c>
    </row>
    <row r="229">
      <c r="A229" s="1" t="n"/>
      <c r="B229" s="45">
        <f>B228+1</f>
        <v/>
      </c>
      <c r="C229" s="45">
        <f>ROUNDUP(B229/4,0)</f>
        <v/>
      </c>
      <c r="D229" s="45">
        <f>IF(B229&lt;=Horizon*4,1,0)</f>
        <v/>
      </c>
      <c r="E229" s="45">
        <f>IF(AND(B229&gt;1,MOD(B229-1,MAX(1,Life)*4)=0),1,0)</f>
        <v/>
      </c>
      <c r="F229" s="7">
        <f>AcceptedWk</f>
        <v/>
      </c>
      <c r="G229" s="7">
        <f>RevenueWk</f>
        <v/>
      </c>
      <c r="H229" s="7">
        <f>-CollectionWk</f>
        <v/>
      </c>
      <c r="I229" s="7">
        <f>-Invest*E229</f>
        <v/>
      </c>
      <c r="J229" s="7">
        <f>G229+H229+I229</f>
        <v/>
      </c>
      <c r="K229" s="7">
        <f>K228+J229</f>
        <v/>
      </c>
      <c r="L229" s="47">
        <f>IF(AND(D229=1,K228&lt;0,K229&gt;=0,J229&gt;0),(B228+(-K228/J229))/4,"")</f>
        <v/>
      </c>
    </row>
    <row r="230">
      <c r="A230" s="1" t="n"/>
      <c r="B230" s="45">
        <f>B229+1</f>
        <v/>
      </c>
      <c r="C230" s="45">
        <f>ROUNDUP(B230/4,0)</f>
        <v/>
      </c>
      <c r="D230" s="45">
        <f>IF(B230&lt;=Horizon*4,1,0)</f>
        <v/>
      </c>
      <c r="E230" s="45">
        <f>IF(AND(B230&gt;1,MOD(B230-1,MAX(1,Life)*4)=0),1,0)</f>
        <v/>
      </c>
      <c r="F230" s="7">
        <f>AcceptedWk</f>
        <v/>
      </c>
      <c r="G230" s="7">
        <f>RevenueWk</f>
        <v/>
      </c>
      <c r="H230" s="7">
        <f>-CollectionWk</f>
        <v/>
      </c>
      <c r="I230" s="7">
        <f>-Invest*E230</f>
        <v/>
      </c>
      <c r="J230" s="7">
        <f>G230+H230+I230</f>
        <v/>
      </c>
      <c r="K230" s="7">
        <f>K229+J230</f>
        <v/>
      </c>
      <c r="L230" s="47">
        <f>IF(AND(D230=1,K229&lt;0,K230&gt;=0,J230&gt;0),(B229+(-K229/J230))/4,"")</f>
        <v/>
      </c>
    </row>
    <row r="231">
      <c r="A231" s="1" t="n"/>
      <c r="B231" s="45">
        <f>B230+1</f>
        <v/>
      </c>
      <c r="C231" s="45">
        <f>ROUNDUP(B231/4,0)</f>
        <v/>
      </c>
      <c r="D231" s="45">
        <f>IF(B231&lt;=Horizon*4,1,0)</f>
        <v/>
      </c>
      <c r="E231" s="45">
        <f>IF(AND(B231&gt;1,MOD(B231-1,MAX(1,Life)*4)=0),1,0)</f>
        <v/>
      </c>
      <c r="F231" s="7">
        <f>AcceptedWk</f>
        <v/>
      </c>
      <c r="G231" s="7">
        <f>RevenueWk</f>
        <v/>
      </c>
      <c r="H231" s="7">
        <f>-CollectionWk</f>
        <v/>
      </c>
      <c r="I231" s="7">
        <f>-Invest*E231</f>
        <v/>
      </c>
      <c r="J231" s="7">
        <f>G231+H231+I231</f>
        <v/>
      </c>
      <c r="K231" s="7">
        <f>K230+J231</f>
        <v/>
      </c>
      <c r="L231" s="47">
        <f>IF(AND(D231=1,K230&lt;0,K231&gt;=0,J231&gt;0),(B230+(-K230/J231))/4,"")</f>
        <v/>
      </c>
    </row>
    <row r="232">
      <c r="A232" s="1" t="n"/>
      <c r="B232" s="45">
        <f>B231+1</f>
        <v/>
      </c>
      <c r="C232" s="45">
        <f>ROUNDUP(B232/4,0)</f>
        <v/>
      </c>
      <c r="D232" s="45">
        <f>IF(B232&lt;=Horizon*4,1,0)</f>
        <v/>
      </c>
      <c r="E232" s="45">
        <f>IF(AND(B232&gt;1,MOD(B232-1,MAX(1,Life)*4)=0),1,0)</f>
        <v/>
      </c>
      <c r="F232" s="7">
        <f>AcceptedWk</f>
        <v/>
      </c>
      <c r="G232" s="7">
        <f>RevenueWk</f>
        <v/>
      </c>
      <c r="H232" s="7">
        <f>-CollectionWk</f>
        <v/>
      </c>
      <c r="I232" s="7">
        <f>-Invest*E232</f>
        <v/>
      </c>
      <c r="J232" s="7">
        <f>G232+H232+I232</f>
        <v/>
      </c>
      <c r="K232" s="7">
        <f>K231+J232</f>
        <v/>
      </c>
      <c r="L232" s="47">
        <f>IF(AND(D232=1,K231&lt;0,K232&gt;=0,J232&gt;0),(B231+(-K231/J232))/4,"")</f>
        <v/>
      </c>
    </row>
    <row r="233">
      <c r="A233" s="1" t="n"/>
      <c r="B233" s="45">
        <f>B232+1</f>
        <v/>
      </c>
      <c r="C233" s="45">
        <f>ROUNDUP(B233/4,0)</f>
        <v/>
      </c>
      <c r="D233" s="45">
        <f>IF(B233&lt;=Horizon*4,1,0)</f>
        <v/>
      </c>
      <c r="E233" s="45">
        <f>IF(AND(B233&gt;1,MOD(B233-1,MAX(1,Life)*4)=0),1,0)</f>
        <v/>
      </c>
      <c r="F233" s="7">
        <f>AcceptedWk</f>
        <v/>
      </c>
      <c r="G233" s="7">
        <f>RevenueWk</f>
        <v/>
      </c>
      <c r="H233" s="7">
        <f>-CollectionWk</f>
        <v/>
      </c>
      <c r="I233" s="7">
        <f>-Invest*E233</f>
        <v/>
      </c>
      <c r="J233" s="7">
        <f>G233+H233+I233</f>
        <v/>
      </c>
      <c r="K233" s="7">
        <f>K232+J233</f>
        <v/>
      </c>
      <c r="L233" s="47">
        <f>IF(AND(D233=1,K232&lt;0,K233&gt;=0,J233&gt;0),(B232+(-K232/J233))/4,"")</f>
        <v/>
      </c>
    </row>
    <row r="234">
      <c r="A234" s="1" t="n"/>
      <c r="B234" s="45">
        <f>B233+1</f>
        <v/>
      </c>
      <c r="C234" s="45">
        <f>ROUNDUP(B234/4,0)</f>
        <v/>
      </c>
      <c r="D234" s="45">
        <f>IF(B234&lt;=Horizon*4,1,0)</f>
        <v/>
      </c>
      <c r="E234" s="45">
        <f>IF(AND(B234&gt;1,MOD(B234-1,MAX(1,Life)*4)=0),1,0)</f>
        <v/>
      </c>
      <c r="F234" s="7">
        <f>AcceptedWk</f>
        <v/>
      </c>
      <c r="G234" s="7">
        <f>RevenueWk</f>
        <v/>
      </c>
      <c r="H234" s="7">
        <f>-CollectionWk</f>
        <v/>
      </c>
      <c r="I234" s="7">
        <f>-Invest*E234</f>
        <v/>
      </c>
      <c r="J234" s="7">
        <f>G234+H234+I234</f>
        <v/>
      </c>
      <c r="K234" s="7">
        <f>K233+J234</f>
        <v/>
      </c>
      <c r="L234" s="47">
        <f>IF(AND(D234=1,K233&lt;0,K234&gt;=0,J234&gt;0),(B233+(-K233/J234))/4,"")</f>
        <v/>
      </c>
    </row>
    <row r="235">
      <c r="A235" s="1" t="n"/>
      <c r="B235" s="45">
        <f>B234+1</f>
        <v/>
      </c>
      <c r="C235" s="45">
        <f>ROUNDUP(B235/4,0)</f>
        <v/>
      </c>
      <c r="D235" s="45">
        <f>IF(B235&lt;=Horizon*4,1,0)</f>
        <v/>
      </c>
      <c r="E235" s="45">
        <f>IF(AND(B235&gt;1,MOD(B235-1,MAX(1,Life)*4)=0),1,0)</f>
        <v/>
      </c>
      <c r="F235" s="7">
        <f>AcceptedWk</f>
        <v/>
      </c>
      <c r="G235" s="7">
        <f>RevenueWk</f>
        <v/>
      </c>
      <c r="H235" s="7">
        <f>-CollectionWk</f>
        <v/>
      </c>
      <c r="I235" s="7">
        <f>-Invest*E235</f>
        <v/>
      </c>
      <c r="J235" s="7">
        <f>G235+H235+I235</f>
        <v/>
      </c>
      <c r="K235" s="7">
        <f>K234+J235</f>
        <v/>
      </c>
      <c r="L235" s="47">
        <f>IF(AND(D235=1,K234&lt;0,K235&gt;=0,J235&gt;0),(B234+(-K234/J235))/4,"")</f>
        <v/>
      </c>
    </row>
    <row r="236">
      <c r="A236" s="1" t="n"/>
      <c r="B236" s="45">
        <f>B235+1</f>
        <v/>
      </c>
      <c r="C236" s="45">
        <f>ROUNDUP(B236/4,0)</f>
        <v/>
      </c>
      <c r="D236" s="45">
        <f>IF(B236&lt;=Horizon*4,1,0)</f>
        <v/>
      </c>
      <c r="E236" s="45">
        <f>IF(AND(B236&gt;1,MOD(B236-1,MAX(1,Life)*4)=0),1,0)</f>
        <v/>
      </c>
      <c r="F236" s="7">
        <f>AcceptedWk</f>
        <v/>
      </c>
      <c r="G236" s="7">
        <f>RevenueWk</f>
        <v/>
      </c>
      <c r="H236" s="7">
        <f>-CollectionWk</f>
        <v/>
      </c>
      <c r="I236" s="7">
        <f>-Invest*E236</f>
        <v/>
      </c>
      <c r="J236" s="7">
        <f>G236+H236+I236</f>
        <v/>
      </c>
      <c r="K236" s="7">
        <f>K235+J236</f>
        <v/>
      </c>
      <c r="L236" s="47">
        <f>IF(AND(D236=1,K235&lt;0,K236&gt;=0,J236&gt;0),(B235+(-K235/J236))/4,"")</f>
        <v/>
      </c>
    </row>
    <row r="237">
      <c r="A237" s="1" t="n"/>
      <c r="B237" s="45">
        <f>B236+1</f>
        <v/>
      </c>
      <c r="C237" s="45">
        <f>ROUNDUP(B237/4,0)</f>
        <v/>
      </c>
      <c r="D237" s="45">
        <f>IF(B237&lt;=Horizon*4,1,0)</f>
        <v/>
      </c>
      <c r="E237" s="45">
        <f>IF(AND(B237&gt;1,MOD(B237-1,MAX(1,Life)*4)=0),1,0)</f>
        <v/>
      </c>
      <c r="F237" s="7">
        <f>AcceptedWk</f>
        <v/>
      </c>
      <c r="G237" s="7">
        <f>RevenueWk</f>
        <v/>
      </c>
      <c r="H237" s="7">
        <f>-CollectionWk</f>
        <v/>
      </c>
      <c r="I237" s="7">
        <f>-Invest*E237</f>
        <v/>
      </c>
      <c r="J237" s="7">
        <f>G237+H237+I237</f>
        <v/>
      </c>
      <c r="K237" s="7">
        <f>K236+J237</f>
        <v/>
      </c>
      <c r="L237" s="47">
        <f>IF(AND(D237=1,K236&lt;0,K237&gt;=0,J237&gt;0),(B236+(-K236/J237))/4,"")</f>
        <v/>
      </c>
    </row>
    <row r="238">
      <c r="A238" s="1" t="n"/>
      <c r="B238" s="45">
        <f>B237+1</f>
        <v/>
      </c>
      <c r="C238" s="45">
        <f>ROUNDUP(B238/4,0)</f>
        <v/>
      </c>
      <c r="D238" s="45">
        <f>IF(B238&lt;=Horizon*4,1,0)</f>
        <v/>
      </c>
      <c r="E238" s="45">
        <f>IF(AND(B238&gt;1,MOD(B238-1,MAX(1,Life)*4)=0),1,0)</f>
        <v/>
      </c>
      <c r="F238" s="7">
        <f>AcceptedWk</f>
        <v/>
      </c>
      <c r="G238" s="7">
        <f>RevenueWk</f>
        <v/>
      </c>
      <c r="H238" s="7">
        <f>-CollectionWk</f>
        <v/>
      </c>
      <c r="I238" s="7">
        <f>-Invest*E238</f>
        <v/>
      </c>
      <c r="J238" s="7">
        <f>G238+H238+I238</f>
        <v/>
      </c>
      <c r="K238" s="7">
        <f>K237+J238</f>
        <v/>
      </c>
      <c r="L238" s="47">
        <f>IF(AND(D238=1,K237&lt;0,K238&gt;=0,J238&gt;0),(B237+(-K237/J238))/4,"")</f>
        <v/>
      </c>
    </row>
    <row r="239">
      <c r="A239" s="1" t="n"/>
      <c r="B239" s="45">
        <f>B238+1</f>
        <v/>
      </c>
      <c r="C239" s="45">
        <f>ROUNDUP(B239/4,0)</f>
        <v/>
      </c>
      <c r="D239" s="45">
        <f>IF(B239&lt;=Horizon*4,1,0)</f>
        <v/>
      </c>
      <c r="E239" s="45">
        <f>IF(AND(B239&gt;1,MOD(B239-1,MAX(1,Life)*4)=0),1,0)</f>
        <v/>
      </c>
      <c r="F239" s="7">
        <f>AcceptedWk</f>
        <v/>
      </c>
      <c r="G239" s="7">
        <f>RevenueWk</f>
        <v/>
      </c>
      <c r="H239" s="7">
        <f>-CollectionWk</f>
        <v/>
      </c>
      <c r="I239" s="7">
        <f>-Invest*E239</f>
        <v/>
      </c>
      <c r="J239" s="7">
        <f>G239+H239+I239</f>
        <v/>
      </c>
      <c r="K239" s="7">
        <f>K238+J239</f>
        <v/>
      </c>
      <c r="L239" s="47">
        <f>IF(AND(D239=1,K238&lt;0,K239&gt;=0,J239&gt;0),(B238+(-K238/J239))/4,"")</f>
        <v/>
      </c>
    </row>
    <row r="240">
      <c r="A240" s="1" t="n"/>
      <c r="B240" s="45">
        <f>B239+1</f>
        <v/>
      </c>
      <c r="C240" s="45">
        <f>ROUNDUP(B240/4,0)</f>
        <v/>
      </c>
      <c r="D240" s="45">
        <f>IF(B240&lt;=Horizon*4,1,0)</f>
        <v/>
      </c>
      <c r="E240" s="45">
        <f>IF(AND(B240&gt;1,MOD(B240-1,MAX(1,Life)*4)=0),1,0)</f>
        <v/>
      </c>
      <c r="F240" s="7">
        <f>AcceptedWk</f>
        <v/>
      </c>
      <c r="G240" s="7">
        <f>RevenueWk</f>
        <v/>
      </c>
      <c r="H240" s="7">
        <f>-CollectionWk</f>
        <v/>
      </c>
      <c r="I240" s="7">
        <f>-Invest*E240</f>
        <v/>
      </c>
      <c r="J240" s="7">
        <f>G240+H240+I240</f>
        <v/>
      </c>
      <c r="K240" s="7">
        <f>K239+J240</f>
        <v/>
      </c>
      <c r="L240" s="47">
        <f>IF(AND(D240=1,K239&lt;0,K240&gt;=0,J240&gt;0),(B239+(-K239/J240))/4,"")</f>
        <v/>
      </c>
    </row>
    <row r="241">
      <c r="A241" s="1" t="n"/>
      <c r="B241" s="45">
        <f>B240+1</f>
        <v/>
      </c>
      <c r="C241" s="45">
        <f>ROUNDUP(B241/4,0)</f>
        <v/>
      </c>
      <c r="D241" s="45">
        <f>IF(B241&lt;=Horizon*4,1,0)</f>
        <v/>
      </c>
      <c r="E241" s="45">
        <f>IF(AND(B241&gt;1,MOD(B241-1,MAX(1,Life)*4)=0),1,0)</f>
        <v/>
      </c>
      <c r="F241" s="7">
        <f>AcceptedWk</f>
        <v/>
      </c>
      <c r="G241" s="7">
        <f>RevenueWk</f>
        <v/>
      </c>
      <c r="H241" s="7">
        <f>-CollectionWk</f>
        <v/>
      </c>
      <c r="I241" s="7">
        <f>-Invest*E241</f>
        <v/>
      </c>
      <c r="J241" s="7">
        <f>G241+H241+I241</f>
        <v/>
      </c>
      <c r="K241" s="7">
        <f>K240+J241</f>
        <v/>
      </c>
      <c r="L241" s="47">
        <f>IF(AND(D241=1,K240&lt;0,K241&gt;=0,J241&gt;0),(B240+(-K240/J241))/4,"")</f>
        <v/>
      </c>
    </row>
    <row r="242">
      <c r="A242" s="1" t="n"/>
      <c r="B242" s="45">
        <f>B241+1</f>
        <v/>
      </c>
      <c r="C242" s="45">
        <f>ROUNDUP(B242/4,0)</f>
        <v/>
      </c>
      <c r="D242" s="45">
        <f>IF(B242&lt;=Horizon*4,1,0)</f>
        <v/>
      </c>
      <c r="E242" s="45">
        <f>IF(AND(B242&gt;1,MOD(B242-1,MAX(1,Life)*4)=0),1,0)</f>
        <v/>
      </c>
      <c r="F242" s="7">
        <f>AcceptedWk</f>
        <v/>
      </c>
      <c r="G242" s="7">
        <f>RevenueWk</f>
        <v/>
      </c>
      <c r="H242" s="7">
        <f>-CollectionWk</f>
        <v/>
      </c>
      <c r="I242" s="7">
        <f>-Invest*E242</f>
        <v/>
      </c>
      <c r="J242" s="7">
        <f>G242+H242+I242</f>
        <v/>
      </c>
      <c r="K242" s="7">
        <f>K241+J242</f>
        <v/>
      </c>
      <c r="L242" s="47">
        <f>IF(AND(D242=1,K241&lt;0,K242&gt;=0,J242&gt;0),(B241+(-K241/J242))/4,"")</f>
        <v/>
      </c>
    </row>
    <row r="243">
      <c r="A243" s="1" t="n"/>
      <c r="B243" s="45">
        <f>B242+1</f>
        <v/>
      </c>
      <c r="C243" s="45">
        <f>ROUNDUP(B243/4,0)</f>
        <v/>
      </c>
      <c r="D243" s="45">
        <f>IF(B243&lt;=Horizon*4,1,0)</f>
        <v/>
      </c>
      <c r="E243" s="45">
        <f>IF(AND(B243&gt;1,MOD(B243-1,MAX(1,Life)*4)=0),1,0)</f>
        <v/>
      </c>
      <c r="F243" s="7">
        <f>AcceptedWk</f>
        <v/>
      </c>
      <c r="G243" s="7">
        <f>RevenueWk</f>
        <v/>
      </c>
      <c r="H243" s="7">
        <f>-CollectionWk</f>
        <v/>
      </c>
      <c r="I243" s="7">
        <f>-Invest*E243</f>
        <v/>
      </c>
      <c r="J243" s="7">
        <f>G243+H243+I243</f>
        <v/>
      </c>
      <c r="K243" s="7">
        <f>K242+J243</f>
        <v/>
      </c>
      <c r="L243" s="47">
        <f>IF(AND(D243=1,K242&lt;0,K243&gt;=0,J243&gt;0),(B242+(-K242/J243))/4,"")</f>
        <v/>
      </c>
    </row>
    <row r="244">
      <c r="A244" s="1" t="n"/>
      <c r="B244" s="45">
        <f>B243+1</f>
        <v/>
      </c>
      <c r="C244" s="45">
        <f>ROUNDUP(B244/4,0)</f>
        <v/>
      </c>
      <c r="D244" s="45">
        <f>IF(B244&lt;=Horizon*4,1,0)</f>
        <v/>
      </c>
      <c r="E244" s="45">
        <f>IF(AND(B244&gt;1,MOD(B244-1,MAX(1,Life)*4)=0),1,0)</f>
        <v/>
      </c>
      <c r="F244" s="7">
        <f>AcceptedWk</f>
        <v/>
      </c>
      <c r="G244" s="7">
        <f>RevenueWk</f>
        <v/>
      </c>
      <c r="H244" s="7">
        <f>-CollectionWk</f>
        <v/>
      </c>
      <c r="I244" s="7">
        <f>-Invest*E244</f>
        <v/>
      </c>
      <c r="J244" s="7">
        <f>G244+H244+I244</f>
        <v/>
      </c>
      <c r="K244" s="7">
        <f>K243+J244</f>
        <v/>
      </c>
      <c r="L244" s="47">
        <f>IF(AND(D244=1,K243&lt;0,K244&gt;=0,J244&gt;0),(B243+(-K243/J244))/4,"")</f>
        <v/>
      </c>
    </row>
    <row r="245">
      <c r="A245" s="1" t="n"/>
      <c r="B245" s="45">
        <f>B244+1</f>
        <v/>
      </c>
      <c r="C245" s="45">
        <f>ROUNDUP(B245/4,0)</f>
        <v/>
      </c>
      <c r="D245" s="45">
        <f>IF(B245&lt;=Horizon*4,1,0)</f>
        <v/>
      </c>
      <c r="E245" s="45">
        <f>IF(AND(B245&gt;1,MOD(B245-1,MAX(1,Life)*4)=0),1,0)</f>
        <v/>
      </c>
      <c r="F245" s="7">
        <f>AcceptedWk</f>
        <v/>
      </c>
      <c r="G245" s="7">
        <f>RevenueWk</f>
        <v/>
      </c>
      <c r="H245" s="7">
        <f>-CollectionWk</f>
        <v/>
      </c>
      <c r="I245" s="7">
        <f>-Invest*E245</f>
        <v/>
      </c>
      <c r="J245" s="7">
        <f>G245+H245+I245</f>
        <v/>
      </c>
      <c r="K245" s="7">
        <f>K244+J245</f>
        <v/>
      </c>
      <c r="L245" s="47">
        <f>IF(AND(D245=1,K244&lt;0,K245&gt;=0,J245&gt;0),(B244+(-K244/J245))/4,"")</f>
        <v/>
      </c>
    </row>
  </sheetData>
  <conditionalFormatting sqref="B5:L245">
    <cfRule type="expression" priority="1" dxfId="2">
      <formula>$D5=0</formula>
    </cfRule>
  </conditionalFormatting>
  <conditionalFormatting sqref="K5:K245">
    <cfRule type="cellIs" priority="2" operator="lessThan" dxfId="1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10" customWidth="1" min="3" max="3"/>
    <col width="13" customWidth="1" min="4" max="4"/>
    <col width="14" customWidth="1" min="5" max="5"/>
    <col width="14" customWidth="1" min="6" max="6"/>
    <col width="15" customWidth="1" min="7" max="7"/>
    <col width="14" customWidth="1" min="8" max="8"/>
    <col width="16" customWidth="1" min="9" max="9"/>
  </cols>
  <sheetData>
    <row r="1">
      <c r="A1" s="1" t="n"/>
      <c r="B1" s="2" t="inlineStr">
        <is>
          <t>Monthly Profit (active scenario)</t>
        </is>
      </c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3" t="inlineStr">
        <is>
          <t>Each month adds up 4 weeks from Weekly Profit. Months beyond the horizon are shaded grey.</t>
        </is>
      </c>
      <c r="C2" s="1" t="n"/>
      <c r="D2" s="1" t="n"/>
      <c r="E2" s="1" t="n"/>
      <c r="F2" s="1" t="n"/>
      <c r="G2" s="1" t="n"/>
      <c r="H2" s="1" t="n"/>
      <c r="I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</row>
    <row r="4" ht="32" customHeight="1">
      <c r="A4" s="1" t="n"/>
      <c r="B4" s="46" t="inlineStr">
        <is>
          <t>Month</t>
        </is>
      </c>
      <c r="C4" s="46" t="inlineStr">
        <is>
          <t>In horizon</t>
        </is>
      </c>
      <c r="D4" s="46" t="inlineStr">
        <is>
          <t>Accepted hrs</t>
        </is>
      </c>
      <c r="E4" s="46" t="inlineStr">
        <is>
          <t>Revenue</t>
        </is>
      </c>
      <c r="F4" s="46" t="inlineStr">
        <is>
          <t>Collection cost</t>
        </is>
      </c>
      <c r="G4" s="46" t="inlineStr">
        <is>
          <t>Device purchases</t>
        </is>
      </c>
      <c r="H4" s="46" t="inlineStr">
        <is>
          <t>Net profit</t>
        </is>
      </c>
      <c r="I4" s="46" t="inlineStr">
        <is>
          <t>Cumulative profit</t>
        </is>
      </c>
    </row>
    <row r="5">
      <c r="A5" s="1" t="n"/>
      <c r="B5" s="45" t="n">
        <v>0</v>
      </c>
      <c r="C5" s="45">
        <f>IF(B5&lt;=Horizon,1,0)</f>
        <v/>
      </c>
      <c r="D5" s="48">
        <f>SUMIF('Weekly Profit'!$C$5:$C$245,B5,'Weekly Profit'!$F$5:$F$245)</f>
        <v/>
      </c>
      <c r="E5" s="48">
        <f>SUMIF('Weekly Profit'!$C$5:$C$245,B5,'Weekly Profit'!$G$5:$G$245)</f>
        <v/>
      </c>
      <c r="F5" s="48">
        <f>SUMIF('Weekly Profit'!$C$5:$C$245,B5,'Weekly Profit'!$H$5:$H$245)</f>
        <v/>
      </c>
      <c r="G5" s="48">
        <f>SUMIF('Weekly Profit'!$C$5:$C$245,B5,'Weekly Profit'!$I$5:$I$245)</f>
        <v/>
      </c>
      <c r="H5" s="48">
        <f>SUMIF('Weekly Profit'!$C$5:$C$245,B5,'Weekly Profit'!$J$5:$J$245)</f>
        <v/>
      </c>
      <c r="I5" s="48">
        <f>INDEX('Weekly Profit'!$K$5:$K$245,B5*4+1)</f>
        <v/>
      </c>
    </row>
    <row r="6">
      <c r="A6" s="1" t="n"/>
      <c r="B6" s="45">
        <f>B5+1</f>
        <v/>
      </c>
      <c r="C6" s="45">
        <f>IF(B6&lt;=Horizon,1,0)</f>
        <v/>
      </c>
      <c r="D6" s="48">
        <f>SUMIF('Weekly Profit'!$C$5:$C$245,B6,'Weekly Profit'!$F$5:$F$245)</f>
        <v/>
      </c>
      <c r="E6" s="48">
        <f>SUMIF('Weekly Profit'!$C$5:$C$245,B6,'Weekly Profit'!$G$5:$G$245)</f>
        <v/>
      </c>
      <c r="F6" s="48">
        <f>SUMIF('Weekly Profit'!$C$5:$C$245,B6,'Weekly Profit'!$H$5:$H$245)</f>
        <v/>
      </c>
      <c r="G6" s="48">
        <f>SUMIF('Weekly Profit'!$C$5:$C$245,B6,'Weekly Profit'!$I$5:$I$245)</f>
        <v/>
      </c>
      <c r="H6" s="48">
        <f>SUMIF('Weekly Profit'!$C$5:$C$245,B6,'Weekly Profit'!$J$5:$J$245)</f>
        <v/>
      </c>
      <c r="I6" s="48">
        <f>INDEX('Weekly Profit'!$K$5:$K$245,B6*4+1)</f>
        <v/>
      </c>
    </row>
    <row r="7">
      <c r="A7" s="1" t="n"/>
      <c r="B7" s="45">
        <f>B6+1</f>
        <v/>
      </c>
      <c r="C7" s="45">
        <f>IF(B7&lt;=Horizon,1,0)</f>
        <v/>
      </c>
      <c r="D7" s="48">
        <f>SUMIF('Weekly Profit'!$C$5:$C$245,B7,'Weekly Profit'!$F$5:$F$245)</f>
        <v/>
      </c>
      <c r="E7" s="48">
        <f>SUMIF('Weekly Profit'!$C$5:$C$245,B7,'Weekly Profit'!$G$5:$G$245)</f>
        <v/>
      </c>
      <c r="F7" s="48">
        <f>SUMIF('Weekly Profit'!$C$5:$C$245,B7,'Weekly Profit'!$H$5:$H$245)</f>
        <v/>
      </c>
      <c r="G7" s="48">
        <f>SUMIF('Weekly Profit'!$C$5:$C$245,B7,'Weekly Profit'!$I$5:$I$245)</f>
        <v/>
      </c>
      <c r="H7" s="48">
        <f>SUMIF('Weekly Profit'!$C$5:$C$245,B7,'Weekly Profit'!$J$5:$J$245)</f>
        <v/>
      </c>
      <c r="I7" s="48">
        <f>INDEX('Weekly Profit'!$K$5:$K$245,B7*4+1)</f>
        <v/>
      </c>
    </row>
    <row r="8">
      <c r="A8" s="1" t="n"/>
      <c r="B8" s="45">
        <f>B7+1</f>
        <v/>
      </c>
      <c r="C8" s="45">
        <f>IF(B8&lt;=Horizon,1,0)</f>
        <v/>
      </c>
      <c r="D8" s="48">
        <f>SUMIF('Weekly Profit'!$C$5:$C$245,B8,'Weekly Profit'!$F$5:$F$245)</f>
        <v/>
      </c>
      <c r="E8" s="48">
        <f>SUMIF('Weekly Profit'!$C$5:$C$245,B8,'Weekly Profit'!$G$5:$G$245)</f>
        <v/>
      </c>
      <c r="F8" s="48">
        <f>SUMIF('Weekly Profit'!$C$5:$C$245,B8,'Weekly Profit'!$H$5:$H$245)</f>
        <v/>
      </c>
      <c r="G8" s="48">
        <f>SUMIF('Weekly Profit'!$C$5:$C$245,B8,'Weekly Profit'!$I$5:$I$245)</f>
        <v/>
      </c>
      <c r="H8" s="48">
        <f>SUMIF('Weekly Profit'!$C$5:$C$245,B8,'Weekly Profit'!$J$5:$J$245)</f>
        <v/>
      </c>
      <c r="I8" s="48">
        <f>INDEX('Weekly Profit'!$K$5:$K$245,B8*4+1)</f>
        <v/>
      </c>
    </row>
    <row r="9">
      <c r="A9" s="1" t="n"/>
      <c r="B9" s="45">
        <f>B8+1</f>
        <v/>
      </c>
      <c r="C9" s="45">
        <f>IF(B9&lt;=Horizon,1,0)</f>
        <v/>
      </c>
      <c r="D9" s="48">
        <f>SUMIF('Weekly Profit'!$C$5:$C$245,B9,'Weekly Profit'!$F$5:$F$245)</f>
        <v/>
      </c>
      <c r="E9" s="48">
        <f>SUMIF('Weekly Profit'!$C$5:$C$245,B9,'Weekly Profit'!$G$5:$G$245)</f>
        <v/>
      </c>
      <c r="F9" s="48">
        <f>SUMIF('Weekly Profit'!$C$5:$C$245,B9,'Weekly Profit'!$H$5:$H$245)</f>
        <v/>
      </c>
      <c r="G9" s="48">
        <f>SUMIF('Weekly Profit'!$C$5:$C$245,B9,'Weekly Profit'!$I$5:$I$245)</f>
        <v/>
      </c>
      <c r="H9" s="48">
        <f>SUMIF('Weekly Profit'!$C$5:$C$245,B9,'Weekly Profit'!$J$5:$J$245)</f>
        <v/>
      </c>
      <c r="I9" s="48">
        <f>INDEX('Weekly Profit'!$K$5:$K$245,B9*4+1)</f>
        <v/>
      </c>
    </row>
    <row r="10">
      <c r="A10" s="1" t="n"/>
      <c r="B10" s="45">
        <f>B9+1</f>
        <v/>
      </c>
      <c r="C10" s="45">
        <f>IF(B10&lt;=Horizon,1,0)</f>
        <v/>
      </c>
      <c r="D10" s="48">
        <f>SUMIF('Weekly Profit'!$C$5:$C$245,B10,'Weekly Profit'!$F$5:$F$245)</f>
        <v/>
      </c>
      <c r="E10" s="48">
        <f>SUMIF('Weekly Profit'!$C$5:$C$245,B10,'Weekly Profit'!$G$5:$G$245)</f>
        <v/>
      </c>
      <c r="F10" s="48">
        <f>SUMIF('Weekly Profit'!$C$5:$C$245,B10,'Weekly Profit'!$H$5:$H$245)</f>
        <v/>
      </c>
      <c r="G10" s="48">
        <f>SUMIF('Weekly Profit'!$C$5:$C$245,B10,'Weekly Profit'!$I$5:$I$245)</f>
        <v/>
      </c>
      <c r="H10" s="48">
        <f>SUMIF('Weekly Profit'!$C$5:$C$245,B10,'Weekly Profit'!$J$5:$J$245)</f>
        <v/>
      </c>
      <c r="I10" s="48">
        <f>INDEX('Weekly Profit'!$K$5:$K$245,B10*4+1)</f>
        <v/>
      </c>
    </row>
    <row r="11">
      <c r="A11" s="1" t="n"/>
      <c r="B11" s="45">
        <f>B10+1</f>
        <v/>
      </c>
      <c r="C11" s="45">
        <f>IF(B11&lt;=Horizon,1,0)</f>
        <v/>
      </c>
      <c r="D11" s="48">
        <f>SUMIF('Weekly Profit'!$C$5:$C$245,B11,'Weekly Profit'!$F$5:$F$245)</f>
        <v/>
      </c>
      <c r="E11" s="48">
        <f>SUMIF('Weekly Profit'!$C$5:$C$245,B11,'Weekly Profit'!$G$5:$G$245)</f>
        <v/>
      </c>
      <c r="F11" s="48">
        <f>SUMIF('Weekly Profit'!$C$5:$C$245,B11,'Weekly Profit'!$H$5:$H$245)</f>
        <v/>
      </c>
      <c r="G11" s="48">
        <f>SUMIF('Weekly Profit'!$C$5:$C$245,B11,'Weekly Profit'!$I$5:$I$245)</f>
        <v/>
      </c>
      <c r="H11" s="48">
        <f>SUMIF('Weekly Profit'!$C$5:$C$245,B11,'Weekly Profit'!$J$5:$J$245)</f>
        <v/>
      </c>
      <c r="I11" s="48">
        <f>INDEX('Weekly Profit'!$K$5:$K$245,B11*4+1)</f>
        <v/>
      </c>
    </row>
    <row r="12">
      <c r="A12" s="1" t="n"/>
      <c r="B12" s="45">
        <f>B11+1</f>
        <v/>
      </c>
      <c r="C12" s="45">
        <f>IF(B12&lt;=Horizon,1,0)</f>
        <v/>
      </c>
      <c r="D12" s="48">
        <f>SUMIF('Weekly Profit'!$C$5:$C$245,B12,'Weekly Profit'!$F$5:$F$245)</f>
        <v/>
      </c>
      <c r="E12" s="48">
        <f>SUMIF('Weekly Profit'!$C$5:$C$245,B12,'Weekly Profit'!$G$5:$G$245)</f>
        <v/>
      </c>
      <c r="F12" s="48">
        <f>SUMIF('Weekly Profit'!$C$5:$C$245,B12,'Weekly Profit'!$H$5:$H$245)</f>
        <v/>
      </c>
      <c r="G12" s="48">
        <f>SUMIF('Weekly Profit'!$C$5:$C$245,B12,'Weekly Profit'!$I$5:$I$245)</f>
        <v/>
      </c>
      <c r="H12" s="48">
        <f>SUMIF('Weekly Profit'!$C$5:$C$245,B12,'Weekly Profit'!$J$5:$J$245)</f>
        <v/>
      </c>
      <c r="I12" s="48">
        <f>INDEX('Weekly Profit'!$K$5:$K$245,B12*4+1)</f>
        <v/>
      </c>
    </row>
    <row r="13">
      <c r="A13" s="1" t="n"/>
      <c r="B13" s="45">
        <f>B12+1</f>
        <v/>
      </c>
      <c r="C13" s="45">
        <f>IF(B13&lt;=Horizon,1,0)</f>
        <v/>
      </c>
      <c r="D13" s="48">
        <f>SUMIF('Weekly Profit'!$C$5:$C$245,B13,'Weekly Profit'!$F$5:$F$245)</f>
        <v/>
      </c>
      <c r="E13" s="48">
        <f>SUMIF('Weekly Profit'!$C$5:$C$245,B13,'Weekly Profit'!$G$5:$G$245)</f>
        <v/>
      </c>
      <c r="F13" s="48">
        <f>SUMIF('Weekly Profit'!$C$5:$C$245,B13,'Weekly Profit'!$H$5:$H$245)</f>
        <v/>
      </c>
      <c r="G13" s="48">
        <f>SUMIF('Weekly Profit'!$C$5:$C$245,B13,'Weekly Profit'!$I$5:$I$245)</f>
        <v/>
      </c>
      <c r="H13" s="48">
        <f>SUMIF('Weekly Profit'!$C$5:$C$245,B13,'Weekly Profit'!$J$5:$J$245)</f>
        <v/>
      </c>
      <c r="I13" s="48">
        <f>INDEX('Weekly Profit'!$K$5:$K$245,B13*4+1)</f>
        <v/>
      </c>
    </row>
    <row r="14">
      <c r="A14" s="1" t="n"/>
      <c r="B14" s="45">
        <f>B13+1</f>
        <v/>
      </c>
      <c r="C14" s="45">
        <f>IF(B14&lt;=Horizon,1,0)</f>
        <v/>
      </c>
      <c r="D14" s="48">
        <f>SUMIF('Weekly Profit'!$C$5:$C$245,B14,'Weekly Profit'!$F$5:$F$245)</f>
        <v/>
      </c>
      <c r="E14" s="48">
        <f>SUMIF('Weekly Profit'!$C$5:$C$245,B14,'Weekly Profit'!$G$5:$G$245)</f>
        <v/>
      </c>
      <c r="F14" s="48">
        <f>SUMIF('Weekly Profit'!$C$5:$C$245,B14,'Weekly Profit'!$H$5:$H$245)</f>
        <v/>
      </c>
      <c r="G14" s="48">
        <f>SUMIF('Weekly Profit'!$C$5:$C$245,B14,'Weekly Profit'!$I$5:$I$245)</f>
        <v/>
      </c>
      <c r="H14" s="48">
        <f>SUMIF('Weekly Profit'!$C$5:$C$245,B14,'Weekly Profit'!$J$5:$J$245)</f>
        <v/>
      </c>
      <c r="I14" s="48">
        <f>INDEX('Weekly Profit'!$K$5:$K$245,B14*4+1)</f>
        <v/>
      </c>
    </row>
    <row r="15">
      <c r="A15" s="1" t="n"/>
      <c r="B15" s="45">
        <f>B14+1</f>
        <v/>
      </c>
      <c r="C15" s="45">
        <f>IF(B15&lt;=Horizon,1,0)</f>
        <v/>
      </c>
      <c r="D15" s="48">
        <f>SUMIF('Weekly Profit'!$C$5:$C$245,B15,'Weekly Profit'!$F$5:$F$245)</f>
        <v/>
      </c>
      <c r="E15" s="48">
        <f>SUMIF('Weekly Profit'!$C$5:$C$245,B15,'Weekly Profit'!$G$5:$G$245)</f>
        <v/>
      </c>
      <c r="F15" s="48">
        <f>SUMIF('Weekly Profit'!$C$5:$C$245,B15,'Weekly Profit'!$H$5:$H$245)</f>
        <v/>
      </c>
      <c r="G15" s="48">
        <f>SUMIF('Weekly Profit'!$C$5:$C$245,B15,'Weekly Profit'!$I$5:$I$245)</f>
        <v/>
      </c>
      <c r="H15" s="48">
        <f>SUMIF('Weekly Profit'!$C$5:$C$245,B15,'Weekly Profit'!$J$5:$J$245)</f>
        <v/>
      </c>
      <c r="I15" s="48">
        <f>INDEX('Weekly Profit'!$K$5:$K$245,B15*4+1)</f>
        <v/>
      </c>
    </row>
    <row r="16">
      <c r="A16" s="1" t="n"/>
      <c r="B16" s="45">
        <f>B15+1</f>
        <v/>
      </c>
      <c r="C16" s="45">
        <f>IF(B16&lt;=Horizon,1,0)</f>
        <v/>
      </c>
      <c r="D16" s="48">
        <f>SUMIF('Weekly Profit'!$C$5:$C$245,B16,'Weekly Profit'!$F$5:$F$245)</f>
        <v/>
      </c>
      <c r="E16" s="48">
        <f>SUMIF('Weekly Profit'!$C$5:$C$245,B16,'Weekly Profit'!$G$5:$G$245)</f>
        <v/>
      </c>
      <c r="F16" s="48">
        <f>SUMIF('Weekly Profit'!$C$5:$C$245,B16,'Weekly Profit'!$H$5:$H$245)</f>
        <v/>
      </c>
      <c r="G16" s="48">
        <f>SUMIF('Weekly Profit'!$C$5:$C$245,B16,'Weekly Profit'!$I$5:$I$245)</f>
        <v/>
      </c>
      <c r="H16" s="48">
        <f>SUMIF('Weekly Profit'!$C$5:$C$245,B16,'Weekly Profit'!$J$5:$J$245)</f>
        <v/>
      </c>
      <c r="I16" s="48">
        <f>INDEX('Weekly Profit'!$K$5:$K$245,B16*4+1)</f>
        <v/>
      </c>
    </row>
    <row r="17">
      <c r="A17" s="1" t="n"/>
      <c r="B17" s="45">
        <f>B16+1</f>
        <v/>
      </c>
      <c r="C17" s="45">
        <f>IF(B17&lt;=Horizon,1,0)</f>
        <v/>
      </c>
      <c r="D17" s="48">
        <f>SUMIF('Weekly Profit'!$C$5:$C$245,B17,'Weekly Profit'!$F$5:$F$245)</f>
        <v/>
      </c>
      <c r="E17" s="48">
        <f>SUMIF('Weekly Profit'!$C$5:$C$245,B17,'Weekly Profit'!$G$5:$G$245)</f>
        <v/>
      </c>
      <c r="F17" s="48">
        <f>SUMIF('Weekly Profit'!$C$5:$C$245,B17,'Weekly Profit'!$H$5:$H$245)</f>
        <v/>
      </c>
      <c r="G17" s="48">
        <f>SUMIF('Weekly Profit'!$C$5:$C$245,B17,'Weekly Profit'!$I$5:$I$245)</f>
        <v/>
      </c>
      <c r="H17" s="48">
        <f>SUMIF('Weekly Profit'!$C$5:$C$245,B17,'Weekly Profit'!$J$5:$J$245)</f>
        <v/>
      </c>
      <c r="I17" s="48">
        <f>INDEX('Weekly Profit'!$K$5:$K$245,B17*4+1)</f>
        <v/>
      </c>
    </row>
    <row r="18">
      <c r="A18" s="1" t="n"/>
      <c r="B18" s="45">
        <f>B17+1</f>
        <v/>
      </c>
      <c r="C18" s="45">
        <f>IF(B18&lt;=Horizon,1,0)</f>
        <v/>
      </c>
      <c r="D18" s="48">
        <f>SUMIF('Weekly Profit'!$C$5:$C$245,B18,'Weekly Profit'!$F$5:$F$245)</f>
        <v/>
      </c>
      <c r="E18" s="48">
        <f>SUMIF('Weekly Profit'!$C$5:$C$245,B18,'Weekly Profit'!$G$5:$G$245)</f>
        <v/>
      </c>
      <c r="F18" s="48">
        <f>SUMIF('Weekly Profit'!$C$5:$C$245,B18,'Weekly Profit'!$H$5:$H$245)</f>
        <v/>
      </c>
      <c r="G18" s="48">
        <f>SUMIF('Weekly Profit'!$C$5:$C$245,B18,'Weekly Profit'!$I$5:$I$245)</f>
        <v/>
      </c>
      <c r="H18" s="48">
        <f>SUMIF('Weekly Profit'!$C$5:$C$245,B18,'Weekly Profit'!$J$5:$J$245)</f>
        <v/>
      </c>
      <c r="I18" s="48">
        <f>INDEX('Weekly Profit'!$K$5:$K$245,B18*4+1)</f>
        <v/>
      </c>
    </row>
    <row r="19">
      <c r="A19" s="1" t="n"/>
      <c r="B19" s="45">
        <f>B18+1</f>
        <v/>
      </c>
      <c r="C19" s="45">
        <f>IF(B19&lt;=Horizon,1,0)</f>
        <v/>
      </c>
      <c r="D19" s="48">
        <f>SUMIF('Weekly Profit'!$C$5:$C$245,B19,'Weekly Profit'!$F$5:$F$245)</f>
        <v/>
      </c>
      <c r="E19" s="48">
        <f>SUMIF('Weekly Profit'!$C$5:$C$245,B19,'Weekly Profit'!$G$5:$G$245)</f>
        <v/>
      </c>
      <c r="F19" s="48">
        <f>SUMIF('Weekly Profit'!$C$5:$C$245,B19,'Weekly Profit'!$H$5:$H$245)</f>
        <v/>
      </c>
      <c r="G19" s="48">
        <f>SUMIF('Weekly Profit'!$C$5:$C$245,B19,'Weekly Profit'!$I$5:$I$245)</f>
        <v/>
      </c>
      <c r="H19" s="48">
        <f>SUMIF('Weekly Profit'!$C$5:$C$245,B19,'Weekly Profit'!$J$5:$J$245)</f>
        <v/>
      </c>
      <c r="I19" s="48">
        <f>INDEX('Weekly Profit'!$K$5:$K$245,B19*4+1)</f>
        <v/>
      </c>
    </row>
    <row r="20">
      <c r="A20" s="1" t="n"/>
      <c r="B20" s="45">
        <f>B19+1</f>
        <v/>
      </c>
      <c r="C20" s="45">
        <f>IF(B20&lt;=Horizon,1,0)</f>
        <v/>
      </c>
      <c r="D20" s="48">
        <f>SUMIF('Weekly Profit'!$C$5:$C$245,B20,'Weekly Profit'!$F$5:$F$245)</f>
        <v/>
      </c>
      <c r="E20" s="48">
        <f>SUMIF('Weekly Profit'!$C$5:$C$245,B20,'Weekly Profit'!$G$5:$G$245)</f>
        <v/>
      </c>
      <c r="F20" s="48">
        <f>SUMIF('Weekly Profit'!$C$5:$C$245,B20,'Weekly Profit'!$H$5:$H$245)</f>
        <v/>
      </c>
      <c r="G20" s="48">
        <f>SUMIF('Weekly Profit'!$C$5:$C$245,B20,'Weekly Profit'!$I$5:$I$245)</f>
        <v/>
      </c>
      <c r="H20" s="48">
        <f>SUMIF('Weekly Profit'!$C$5:$C$245,B20,'Weekly Profit'!$J$5:$J$245)</f>
        <v/>
      </c>
      <c r="I20" s="48">
        <f>INDEX('Weekly Profit'!$K$5:$K$245,B20*4+1)</f>
        <v/>
      </c>
    </row>
    <row r="21">
      <c r="A21" s="1" t="n"/>
      <c r="B21" s="45">
        <f>B20+1</f>
        <v/>
      </c>
      <c r="C21" s="45">
        <f>IF(B21&lt;=Horizon,1,0)</f>
        <v/>
      </c>
      <c r="D21" s="48">
        <f>SUMIF('Weekly Profit'!$C$5:$C$245,B21,'Weekly Profit'!$F$5:$F$245)</f>
        <v/>
      </c>
      <c r="E21" s="48">
        <f>SUMIF('Weekly Profit'!$C$5:$C$245,B21,'Weekly Profit'!$G$5:$G$245)</f>
        <v/>
      </c>
      <c r="F21" s="48">
        <f>SUMIF('Weekly Profit'!$C$5:$C$245,B21,'Weekly Profit'!$H$5:$H$245)</f>
        <v/>
      </c>
      <c r="G21" s="48">
        <f>SUMIF('Weekly Profit'!$C$5:$C$245,B21,'Weekly Profit'!$I$5:$I$245)</f>
        <v/>
      </c>
      <c r="H21" s="48">
        <f>SUMIF('Weekly Profit'!$C$5:$C$245,B21,'Weekly Profit'!$J$5:$J$245)</f>
        <v/>
      </c>
      <c r="I21" s="48">
        <f>INDEX('Weekly Profit'!$K$5:$K$245,B21*4+1)</f>
        <v/>
      </c>
    </row>
    <row r="22">
      <c r="A22" s="1" t="n"/>
      <c r="B22" s="45">
        <f>B21+1</f>
        <v/>
      </c>
      <c r="C22" s="45">
        <f>IF(B22&lt;=Horizon,1,0)</f>
        <v/>
      </c>
      <c r="D22" s="48">
        <f>SUMIF('Weekly Profit'!$C$5:$C$245,B22,'Weekly Profit'!$F$5:$F$245)</f>
        <v/>
      </c>
      <c r="E22" s="48">
        <f>SUMIF('Weekly Profit'!$C$5:$C$245,B22,'Weekly Profit'!$G$5:$G$245)</f>
        <v/>
      </c>
      <c r="F22" s="48">
        <f>SUMIF('Weekly Profit'!$C$5:$C$245,B22,'Weekly Profit'!$H$5:$H$245)</f>
        <v/>
      </c>
      <c r="G22" s="48">
        <f>SUMIF('Weekly Profit'!$C$5:$C$245,B22,'Weekly Profit'!$I$5:$I$245)</f>
        <v/>
      </c>
      <c r="H22" s="48">
        <f>SUMIF('Weekly Profit'!$C$5:$C$245,B22,'Weekly Profit'!$J$5:$J$245)</f>
        <v/>
      </c>
      <c r="I22" s="48">
        <f>INDEX('Weekly Profit'!$K$5:$K$245,B22*4+1)</f>
        <v/>
      </c>
    </row>
    <row r="23">
      <c r="A23" s="1" t="n"/>
      <c r="B23" s="45">
        <f>B22+1</f>
        <v/>
      </c>
      <c r="C23" s="45">
        <f>IF(B23&lt;=Horizon,1,0)</f>
        <v/>
      </c>
      <c r="D23" s="48">
        <f>SUMIF('Weekly Profit'!$C$5:$C$245,B23,'Weekly Profit'!$F$5:$F$245)</f>
        <v/>
      </c>
      <c r="E23" s="48">
        <f>SUMIF('Weekly Profit'!$C$5:$C$245,B23,'Weekly Profit'!$G$5:$G$245)</f>
        <v/>
      </c>
      <c r="F23" s="48">
        <f>SUMIF('Weekly Profit'!$C$5:$C$245,B23,'Weekly Profit'!$H$5:$H$245)</f>
        <v/>
      </c>
      <c r="G23" s="48">
        <f>SUMIF('Weekly Profit'!$C$5:$C$245,B23,'Weekly Profit'!$I$5:$I$245)</f>
        <v/>
      </c>
      <c r="H23" s="48">
        <f>SUMIF('Weekly Profit'!$C$5:$C$245,B23,'Weekly Profit'!$J$5:$J$245)</f>
        <v/>
      </c>
      <c r="I23" s="48">
        <f>INDEX('Weekly Profit'!$K$5:$K$245,B23*4+1)</f>
        <v/>
      </c>
    </row>
    <row r="24">
      <c r="A24" s="1" t="n"/>
      <c r="B24" s="45">
        <f>B23+1</f>
        <v/>
      </c>
      <c r="C24" s="45">
        <f>IF(B24&lt;=Horizon,1,0)</f>
        <v/>
      </c>
      <c r="D24" s="48">
        <f>SUMIF('Weekly Profit'!$C$5:$C$245,B24,'Weekly Profit'!$F$5:$F$245)</f>
        <v/>
      </c>
      <c r="E24" s="48">
        <f>SUMIF('Weekly Profit'!$C$5:$C$245,B24,'Weekly Profit'!$G$5:$G$245)</f>
        <v/>
      </c>
      <c r="F24" s="48">
        <f>SUMIF('Weekly Profit'!$C$5:$C$245,B24,'Weekly Profit'!$H$5:$H$245)</f>
        <v/>
      </c>
      <c r="G24" s="48">
        <f>SUMIF('Weekly Profit'!$C$5:$C$245,B24,'Weekly Profit'!$I$5:$I$245)</f>
        <v/>
      </c>
      <c r="H24" s="48">
        <f>SUMIF('Weekly Profit'!$C$5:$C$245,B24,'Weekly Profit'!$J$5:$J$245)</f>
        <v/>
      </c>
      <c r="I24" s="48">
        <f>INDEX('Weekly Profit'!$K$5:$K$245,B24*4+1)</f>
        <v/>
      </c>
    </row>
    <row r="25">
      <c r="A25" s="1" t="n"/>
      <c r="B25" s="45">
        <f>B24+1</f>
        <v/>
      </c>
      <c r="C25" s="45">
        <f>IF(B25&lt;=Horizon,1,0)</f>
        <v/>
      </c>
      <c r="D25" s="48">
        <f>SUMIF('Weekly Profit'!$C$5:$C$245,B25,'Weekly Profit'!$F$5:$F$245)</f>
        <v/>
      </c>
      <c r="E25" s="48">
        <f>SUMIF('Weekly Profit'!$C$5:$C$245,B25,'Weekly Profit'!$G$5:$G$245)</f>
        <v/>
      </c>
      <c r="F25" s="48">
        <f>SUMIF('Weekly Profit'!$C$5:$C$245,B25,'Weekly Profit'!$H$5:$H$245)</f>
        <v/>
      </c>
      <c r="G25" s="48">
        <f>SUMIF('Weekly Profit'!$C$5:$C$245,B25,'Weekly Profit'!$I$5:$I$245)</f>
        <v/>
      </c>
      <c r="H25" s="48">
        <f>SUMIF('Weekly Profit'!$C$5:$C$245,B25,'Weekly Profit'!$J$5:$J$245)</f>
        <v/>
      </c>
      <c r="I25" s="48">
        <f>INDEX('Weekly Profit'!$K$5:$K$245,B25*4+1)</f>
        <v/>
      </c>
    </row>
    <row r="26">
      <c r="A26" s="1" t="n"/>
      <c r="B26" s="45">
        <f>B25+1</f>
        <v/>
      </c>
      <c r="C26" s="45">
        <f>IF(B26&lt;=Horizon,1,0)</f>
        <v/>
      </c>
      <c r="D26" s="48">
        <f>SUMIF('Weekly Profit'!$C$5:$C$245,B26,'Weekly Profit'!$F$5:$F$245)</f>
        <v/>
      </c>
      <c r="E26" s="48">
        <f>SUMIF('Weekly Profit'!$C$5:$C$245,B26,'Weekly Profit'!$G$5:$G$245)</f>
        <v/>
      </c>
      <c r="F26" s="48">
        <f>SUMIF('Weekly Profit'!$C$5:$C$245,B26,'Weekly Profit'!$H$5:$H$245)</f>
        <v/>
      </c>
      <c r="G26" s="48">
        <f>SUMIF('Weekly Profit'!$C$5:$C$245,B26,'Weekly Profit'!$I$5:$I$245)</f>
        <v/>
      </c>
      <c r="H26" s="48">
        <f>SUMIF('Weekly Profit'!$C$5:$C$245,B26,'Weekly Profit'!$J$5:$J$245)</f>
        <v/>
      </c>
      <c r="I26" s="48">
        <f>INDEX('Weekly Profit'!$K$5:$K$245,B26*4+1)</f>
        <v/>
      </c>
    </row>
    <row r="27">
      <c r="A27" s="1" t="n"/>
      <c r="B27" s="45">
        <f>B26+1</f>
        <v/>
      </c>
      <c r="C27" s="45">
        <f>IF(B27&lt;=Horizon,1,0)</f>
        <v/>
      </c>
      <c r="D27" s="48">
        <f>SUMIF('Weekly Profit'!$C$5:$C$245,B27,'Weekly Profit'!$F$5:$F$245)</f>
        <v/>
      </c>
      <c r="E27" s="48">
        <f>SUMIF('Weekly Profit'!$C$5:$C$245,B27,'Weekly Profit'!$G$5:$G$245)</f>
        <v/>
      </c>
      <c r="F27" s="48">
        <f>SUMIF('Weekly Profit'!$C$5:$C$245,B27,'Weekly Profit'!$H$5:$H$245)</f>
        <v/>
      </c>
      <c r="G27" s="48">
        <f>SUMIF('Weekly Profit'!$C$5:$C$245,B27,'Weekly Profit'!$I$5:$I$245)</f>
        <v/>
      </c>
      <c r="H27" s="48">
        <f>SUMIF('Weekly Profit'!$C$5:$C$245,B27,'Weekly Profit'!$J$5:$J$245)</f>
        <v/>
      </c>
      <c r="I27" s="48">
        <f>INDEX('Weekly Profit'!$K$5:$K$245,B27*4+1)</f>
        <v/>
      </c>
    </row>
    <row r="28">
      <c r="A28" s="1" t="n"/>
      <c r="B28" s="45">
        <f>B27+1</f>
        <v/>
      </c>
      <c r="C28" s="45">
        <f>IF(B28&lt;=Horizon,1,0)</f>
        <v/>
      </c>
      <c r="D28" s="48">
        <f>SUMIF('Weekly Profit'!$C$5:$C$245,B28,'Weekly Profit'!$F$5:$F$245)</f>
        <v/>
      </c>
      <c r="E28" s="48">
        <f>SUMIF('Weekly Profit'!$C$5:$C$245,B28,'Weekly Profit'!$G$5:$G$245)</f>
        <v/>
      </c>
      <c r="F28" s="48">
        <f>SUMIF('Weekly Profit'!$C$5:$C$245,B28,'Weekly Profit'!$H$5:$H$245)</f>
        <v/>
      </c>
      <c r="G28" s="48">
        <f>SUMIF('Weekly Profit'!$C$5:$C$245,B28,'Weekly Profit'!$I$5:$I$245)</f>
        <v/>
      </c>
      <c r="H28" s="48">
        <f>SUMIF('Weekly Profit'!$C$5:$C$245,B28,'Weekly Profit'!$J$5:$J$245)</f>
        <v/>
      </c>
      <c r="I28" s="48">
        <f>INDEX('Weekly Profit'!$K$5:$K$245,B28*4+1)</f>
        <v/>
      </c>
    </row>
    <row r="29">
      <c r="A29" s="1" t="n"/>
      <c r="B29" s="45">
        <f>B28+1</f>
        <v/>
      </c>
      <c r="C29" s="45">
        <f>IF(B29&lt;=Horizon,1,0)</f>
        <v/>
      </c>
      <c r="D29" s="48">
        <f>SUMIF('Weekly Profit'!$C$5:$C$245,B29,'Weekly Profit'!$F$5:$F$245)</f>
        <v/>
      </c>
      <c r="E29" s="48">
        <f>SUMIF('Weekly Profit'!$C$5:$C$245,B29,'Weekly Profit'!$G$5:$G$245)</f>
        <v/>
      </c>
      <c r="F29" s="48">
        <f>SUMIF('Weekly Profit'!$C$5:$C$245,B29,'Weekly Profit'!$H$5:$H$245)</f>
        <v/>
      </c>
      <c r="G29" s="48">
        <f>SUMIF('Weekly Profit'!$C$5:$C$245,B29,'Weekly Profit'!$I$5:$I$245)</f>
        <v/>
      </c>
      <c r="H29" s="48">
        <f>SUMIF('Weekly Profit'!$C$5:$C$245,B29,'Weekly Profit'!$J$5:$J$245)</f>
        <v/>
      </c>
      <c r="I29" s="48">
        <f>INDEX('Weekly Profit'!$K$5:$K$245,B29*4+1)</f>
        <v/>
      </c>
    </row>
    <row r="30">
      <c r="A30" s="1" t="n"/>
      <c r="B30" s="45">
        <f>B29+1</f>
        <v/>
      </c>
      <c r="C30" s="45">
        <f>IF(B30&lt;=Horizon,1,0)</f>
        <v/>
      </c>
      <c r="D30" s="48">
        <f>SUMIF('Weekly Profit'!$C$5:$C$245,B30,'Weekly Profit'!$F$5:$F$245)</f>
        <v/>
      </c>
      <c r="E30" s="48">
        <f>SUMIF('Weekly Profit'!$C$5:$C$245,B30,'Weekly Profit'!$G$5:$G$245)</f>
        <v/>
      </c>
      <c r="F30" s="48">
        <f>SUMIF('Weekly Profit'!$C$5:$C$245,B30,'Weekly Profit'!$H$5:$H$245)</f>
        <v/>
      </c>
      <c r="G30" s="48">
        <f>SUMIF('Weekly Profit'!$C$5:$C$245,B30,'Weekly Profit'!$I$5:$I$245)</f>
        <v/>
      </c>
      <c r="H30" s="48">
        <f>SUMIF('Weekly Profit'!$C$5:$C$245,B30,'Weekly Profit'!$J$5:$J$245)</f>
        <v/>
      </c>
      <c r="I30" s="48">
        <f>INDEX('Weekly Profit'!$K$5:$K$245,B30*4+1)</f>
        <v/>
      </c>
    </row>
    <row r="31">
      <c r="A31" s="1" t="n"/>
      <c r="B31" s="45">
        <f>B30+1</f>
        <v/>
      </c>
      <c r="C31" s="45">
        <f>IF(B31&lt;=Horizon,1,0)</f>
        <v/>
      </c>
      <c r="D31" s="48">
        <f>SUMIF('Weekly Profit'!$C$5:$C$245,B31,'Weekly Profit'!$F$5:$F$245)</f>
        <v/>
      </c>
      <c r="E31" s="48">
        <f>SUMIF('Weekly Profit'!$C$5:$C$245,B31,'Weekly Profit'!$G$5:$G$245)</f>
        <v/>
      </c>
      <c r="F31" s="48">
        <f>SUMIF('Weekly Profit'!$C$5:$C$245,B31,'Weekly Profit'!$H$5:$H$245)</f>
        <v/>
      </c>
      <c r="G31" s="48">
        <f>SUMIF('Weekly Profit'!$C$5:$C$245,B31,'Weekly Profit'!$I$5:$I$245)</f>
        <v/>
      </c>
      <c r="H31" s="48">
        <f>SUMIF('Weekly Profit'!$C$5:$C$245,B31,'Weekly Profit'!$J$5:$J$245)</f>
        <v/>
      </c>
      <c r="I31" s="48">
        <f>INDEX('Weekly Profit'!$K$5:$K$245,B31*4+1)</f>
        <v/>
      </c>
    </row>
    <row r="32">
      <c r="A32" s="1" t="n"/>
      <c r="B32" s="45">
        <f>B31+1</f>
        <v/>
      </c>
      <c r="C32" s="45">
        <f>IF(B32&lt;=Horizon,1,0)</f>
        <v/>
      </c>
      <c r="D32" s="48">
        <f>SUMIF('Weekly Profit'!$C$5:$C$245,B32,'Weekly Profit'!$F$5:$F$245)</f>
        <v/>
      </c>
      <c r="E32" s="48">
        <f>SUMIF('Weekly Profit'!$C$5:$C$245,B32,'Weekly Profit'!$G$5:$G$245)</f>
        <v/>
      </c>
      <c r="F32" s="48">
        <f>SUMIF('Weekly Profit'!$C$5:$C$245,B32,'Weekly Profit'!$H$5:$H$245)</f>
        <v/>
      </c>
      <c r="G32" s="48">
        <f>SUMIF('Weekly Profit'!$C$5:$C$245,B32,'Weekly Profit'!$I$5:$I$245)</f>
        <v/>
      </c>
      <c r="H32" s="48">
        <f>SUMIF('Weekly Profit'!$C$5:$C$245,B32,'Weekly Profit'!$J$5:$J$245)</f>
        <v/>
      </c>
      <c r="I32" s="48">
        <f>INDEX('Weekly Profit'!$K$5:$K$245,B32*4+1)</f>
        <v/>
      </c>
    </row>
    <row r="33">
      <c r="A33" s="1" t="n"/>
      <c r="B33" s="45">
        <f>B32+1</f>
        <v/>
      </c>
      <c r="C33" s="45">
        <f>IF(B33&lt;=Horizon,1,0)</f>
        <v/>
      </c>
      <c r="D33" s="48">
        <f>SUMIF('Weekly Profit'!$C$5:$C$245,B33,'Weekly Profit'!$F$5:$F$245)</f>
        <v/>
      </c>
      <c r="E33" s="48">
        <f>SUMIF('Weekly Profit'!$C$5:$C$245,B33,'Weekly Profit'!$G$5:$G$245)</f>
        <v/>
      </c>
      <c r="F33" s="48">
        <f>SUMIF('Weekly Profit'!$C$5:$C$245,B33,'Weekly Profit'!$H$5:$H$245)</f>
        <v/>
      </c>
      <c r="G33" s="48">
        <f>SUMIF('Weekly Profit'!$C$5:$C$245,B33,'Weekly Profit'!$I$5:$I$245)</f>
        <v/>
      </c>
      <c r="H33" s="48">
        <f>SUMIF('Weekly Profit'!$C$5:$C$245,B33,'Weekly Profit'!$J$5:$J$245)</f>
        <v/>
      </c>
      <c r="I33" s="48">
        <f>INDEX('Weekly Profit'!$K$5:$K$245,B33*4+1)</f>
        <v/>
      </c>
    </row>
    <row r="34">
      <c r="A34" s="1" t="n"/>
      <c r="B34" s="45">
        <f>B33+1</f>
        <v/>
      </c>
      <c r="C34" s="45">
        <f>IF(B34&lt;=Horizon,1,0)</f>
        <v/>
      </c>
      <c r="D34" s="48">
        <f>SUMIF('Weekly Profit'!$C$5:$C$245,B34,'Weekly Profit'!$F$5:$F$245)</f>
        <v/>
      </c>
      <c r="E34" s="48">
        <f>SUMIF('Weekly Profit'!$C$5:$C$245,B34,'Weekly Profit'!$G$5:$G$245)</f>
        <v/>
      </c>
      <c r="F34" s="48">
        <f>SUMIF('Weekly Profit'!$C$5:$C$245,B34,'Weekly Profit'!$H$5:$H$245)</f>
        <v/>
      </c>
      <c r="G34" s="48">
        <f>SUMIF('Weekly Profit'!$C$5:$C$245,B34,'Weekly Profit'!$I$5:$I$245)</f>
        <v/>
      </c>
      <c r="H34" s="48">
        <f>SUMIF('Weekly Profit'!$C$5:$C$245,B34,'Weekly Profit'!$J$5:$J$245)</f>
        <v/>
      </c>
      <c r="I34" s="48">
        <f>INDEX('Weekly Profit'!$K$5:$K$245,B34*4+1)</f>
        <v/>
      </c>
    </row>
    <row r="35">
      <c r="A35" s="1" t="n"/>
      <c r="B35" s="45">
        <f>B34+1</f>
        <v/>
      </c>
      <c r="C35" s="45">
        <f>IF(B35&lt;=Horizon,1,0)</f>
        <v/>
      </c>
      <c r="D35" s="48">
        <f>SUMIF('Weekly Profit'!$C$5:$C$245,B35,'Weekly Profit'!$F$5:$F$245)</f>
        <v/>
      </c>
      <c r="E35" s="48">
        <f>SUMIF('Weekly Profit'!$C$5:$C$245,B35,'Weekly Profit'!$G$5:$G$245)</f>
        <v/>
      </c>
      <c r="F35" s="48">
        <f>SUMIF('Weekly Profit'!$C$5:$C$245,B35,'Weekly Profit'!$H$5:$H$245)</f>
        <v/>
      </c>
      <c r="G35" s="48">
        <f>SUMIF('Weekly Profit'!$C$5:$C$245,B35,'Weekly Profit'!$I$5:$I$245)</f>
        <v/>
      </c>
      <c r="H35" s="48">
        <f>SUMIF('Weekly Profit'!$C$5:$C$245,B35,'Weekly Profit'!$J$5:$J$245)</f>
        <v/>
      </c>
      <c r="I35" s="48">
        <f>INDEX('Weekly Profit'!$K$5:$K$245,B35*4+1)</f>
        <v/>
      </c>
    </row>
    <row r="36">
      <c r="A36" s="1" t="n"/>
      <c r="B36" s="45">
        <f>B35+1</f>
        <v/>
      </c>
      <c r="C36" s="45">
        <f>IF(B36&lt;=Horizon,1,0)</f>
        <v/>
      </c>
      <c r="D36" s="48">
        <f>SUMIF('Weekly Profit'!$C$5:$C$245,B36,'Weekly Profit'!$F$5:$F$245)</f>
        <v/>
      </c>
      <c r="E36" s="48">
        <f>SUMIF('Weekly Profit'!$C$5:$C$245,B36,'Weekly Profit'!$G$5:$G$245)</f>
        <v/>
      </c>
      <c r="F36" s="48">
        <f>SUMIF('Weekly Profit'!$C$5:$C$245,B36,'Weekly Profit'!$H$5:$H$245)</f>
        <v/>
      </c>
      <c r="G36" s="48">
        <f>SUMIF('Weekly Profit'!$C$5:$C$245,B36,'Weekly Profit'!$I$5:$I$245)</f>
        <v/>
      </c>
      <c r="H36" s="48">
        <f>SUMIF('Weekly Profit'!$C$5:$C$245,B36,'Weekly Profit'!$J$5:$J$245)</f>
        <v/>
      </c>
      <c r="I36" s="48">
        <f>INDEX('Weekly Profit'!$K$5:$K$245,B36*4+1)</f>
        <v/>
      </c>
    </row>
    <row r="37">
      <c r="A37" s="1" t="n"/>
      <c r="B37" s="45">
        <f>B36+1</f>
        <v/>
      </c>
      <c r="C37" s="45">
        <f>IF(B37&lt;=Horizon,1,0)</f>
        <v/>
      </c>
      <c r="D37" s="48">
        <f>SUMIF('Weekly Profit'!$C$5:$C$245,B37,'Weekly Profit'!$F$5:$F$245)</f>
        <v/>
      </c>
      <c r="E37" s="48">
        <f>SUMIF('Weekly Profit'!$C$5:$C$245,B37,'Weekly Profit'!$G$5:$G$245)</f>
        <v/>
      </c>
      <c r="F37" s="48">
        <f>SUMIF('Weekly Profit'!$C$5:$C$245,B37,'Weekly Profit'!$H$5:$H$245)</f>
        <v/>
      </c>
      <c r="G37" s="48">
        <f>SUMIF('Weekly Profit'!$C$5:$C$245,B37,'Weekly Profit'!$I$5:$I$245)</f>
        <v/>
      </c>
      <c r="H37" s="48">
        <f>SUMIF('Weekly Profit'!$C$5:$C$245,B37,'Weekly Profit'!$J$5:$J$245)</f>
        <v/>
      </c>
      <c r="I37" s="48">
        <f>INDEX('Weekly Profit'!$K$5:$K$245,B37*4+1)</f>
        <v/>
      </c>
    </row>
    <row r="38">
      <c r="A38" s="1" t="n"/>
      <c r="B38" s="45">
        <f>B37+1</f>
        <v/>
      </c>
      <c r="C38" s="45">
        <f>IF(B38&lt;=Horizon,1,0)</f>
        <v/>
      </c>
      <c r="D38" s="48">
        <f>SUMIF('Weekly Profit'!$C$5:$C$245,B38,'Weekly Profit'!$F$5:$F$245)</f>
        <v/>
      </c>
      <c r="E38" s="48">
        <f>SUMIF('Weekly Profit'!$C$5:$C$245,B38,'Weekly Profit'!$G$5:$G$245)</f>
        <v/>
      </c>
      <c r="F38" s="48">
        <f>SUMIF('Weekly Profit'!$C$5:$C$245,B38,'Weekly Profit'!$H$5:$H$245)</f>
        <v/>
      </c>
      <c r="G38" s="48">
        <f>SUMIF('Weekly Profit'!$C$5:$C$245,B38,'Weekly Profit'!$I$5:$I$245)</f>
        <v/>
      </c>
      <c r="H38" s="48">
        <f>SUMIF('Weekly Profit'!$C$5:$C$245,B38,'Weekly Profit'!$J$5:$J$245)</f>
        <v/>
      </c>
      <c r="I38" s="48">
        <f>INDEX('Weekly Profit'!$K$5:$K$245,B38*4+1)</f>
        <v/>
      </c>
    </row>
    <row r="39">
      <c r="A39" s="1" t="n"/>
      <c r="B39" s="45">
        <f>B38+1</f>
        <v/>
      </c>
      <c r="C39" s="45">
        <f>IF(B39&lt;=Horizon,1,0)</f>
        <v/>
      </c>
      <c r="D39" s="48">
        <f>SUMIF('Weekly Profit'!$C$5:$C$245,B39,'Weekly Profit'!$F$5:$F$245)</f>
        <v/>
      </c>
      <c r="E39" s="48">
        <f>SUMIF('Weekly Profit'!$C$5:$C$245,B39,'Weekly Profit'!$G$5:$G$245)</f>
        <v/>
      </c>
      <c r="F39" s="48">
        <f>SUMIF('Weekly Profit'!$C$5:$C$245,B39,'Weekly Profit'!$H$5:$H$245)</f>
        <v/>
      </c>
      <c r="G39" s="48">
        <f>SUMIF('Weekly Profit'!$C$5:$C$245,B39,'Weekly Profit'!$I$5:$I$245)</f>
        <v/>
      </c>
      <c r="H39" s="48">
        <f>SUMIF('Weekly Profit'!$C$5:$C$245,B39,'Weekly Profit'!$J$5:$J$245)</f>
        <v/>
      </c>
      <c r="I39" s="48">
        <f>INDEX('Weekly Profit'!$K$5:$K$245,B39*4+1)</f>
        <v/>
      </c>
    </row>
    <row r="40">
      <c r="A40" s="1" t="n"/>
      <c r="B40" s="45">
        <f>B39+1</f>
        <v/>
      </c>
      <c r="C40" s="45">
        <f>IF(B40&lt;=Horizon,1,0)</f>
        <v/>
      </c>
      <c r="D40" s="48">
        <f>SUMIF('Weekly Profit'!$C$5:$C$245,B40,'Weekly Profit'!$F$5:$F$245)</f>
        <v/>
      </c>
      <c r="E40" s="48">
        <f>SUMIF('Weekly Profit'!$C$5:$C$245,B40,'Weekly Profit'!$G$5:$G$245)</f>
        <v/>
      </c>
      <c r="F40" s="48">
        <f>SUMIF('Weekly Profit'!$C$5:$C$245,B40,'Weekly Profit'!$H$5:$H$245)</f>
        <v/>
      </c>
      <c r="G40" s="48">
        <f>SUMIF('Weekly Profit'!$C$5:$C$245,B40,'Weekly Profit'!$I$5:$I$245)</f>
        <v/>
      </c>
      <c r="H40" s="48">
        <f>SUMIF('Weekly Profit'!$C$5:$C$245,B40,'Weekly Profit'!$J$5:$J$245)</f>
        <v/>
      </c>
      <c r="I40" s="48">
        <f>INDEX('Weekly Profit'!$K$5:$K$245,B40*4+1)</f>
        <v/>
      </c>
    </row>
    <row r="41">
      <c r="A41" s="1" t="n"/>
      <c r="B41" s="45">
        <f>B40+1</f>
        <v/>
      </c>
      <c r="C41" s="45">
        <f>IF(B41&lt;=Horizon,1,0)</f>
        <v/>
      </c>
      <c r="D41" s="48">
        <f>SUMIF('Weekly Profit'!$C$5:$C$245,B41,'Weekly Profit'!$F$5:$F$245)</f>
        <v/>
      </c>
      <c r="E41" s="48">
        <f>SUMIF('Weekly Profit'!$C$5:$C$245,B41,'Weekly Profit'!$G$5:$G$245)</f>
        <v/>
      </c>
      <c r="F41" s="48">
        <f>SUMIF('Weekly Profit'!$C$5:$C$245,B41,'Weekly Profit'!$H$5:$H$245)</f>
        <v/>
      </c>
      <c r="G41" s="48">
        <f>SUMIF('Weekly Profit'!$C$5:$C$245,B41,'Weekly Profit'!$I$5:$I$245)</f>
        <v/>
      </c>
      <c r="H41" s="48">
        <f>SUMIF('Weekly Profit'!$C$5:$C$245,B41,'Weekly Profit'!$J$5:$J$245)</f>
        <v/>
      </c>
      <c r="I41" s="48">
        <f>INDEX('Weekly Profit'!$K$5:$K$245,B41*4+1)</f>
        <v/>
      </c>
    </row>
    <row r="42">
      <c r="A42" s="1" t="n"/>
      <c r="B42" s="45">
        <f>B41+1</f>
        <v/>
      </c>
      <c r="C42" s="45">
        <f>IF(B42&lt;=Horizon,1,0)</f>
        <v/>
      </c>
      <c r="D42" s="48">
        <f>SUMIF('Weekly Profit'!$C$5:$C$245,B42,'Weekly Profit'!$F$5:$F$245)</f>
        <v/>
      </c>
      <c r="E42" s="48">
        <f>SUMIF('Weekly Profit'!$C$5:$C$245,B42,'Weekly Profit'!$G$5:$G$245)</f>
        <v/>
      </c>
      <c r="F42" s="48">
        <f>SUMIF('Weekly Profit'!$C$5:$C$245,B42,'Weekly Profit'!$H$5:$H$245)</f>
        <v/>
      </c>
      <c r="G42" s="48">
        <f>SUMIF('Weekly Profit'!$C$5:$C$245,B42,'Weekly Profit'!$I$5:$I$245)</f>
        <v/>
      </c>
      <c r="H42" s="48">
        <f>SUMIF('Weekly Profit'!$C$5:$C$245,B42,'Weekly Profit'!$J$5:$J$245)</f>
        <v/>
      </c>
      <c r="I42" s="48">
        <f>INDEX('Weekly Profit'!$K$5:$K$245,B42*4+1)</f>
        <v/>
      </c>
    </row>
    <row r="43">
      <c r="A43" s="1" t="n"/>
      <c r="B43" s="45">
        <f>B42+1</f>
        <v/>
      </c>
      <c r="C43" s="45">
        <f>IF(B43&lt;=Horizon,1,0)</f>
        <v/>
      </c>
      <c r="D43" s="48">
        <f>SUMIF('Weekly Profit'!$C$5:$C$245,B43,'Weekly Profit'!$F$5:$F$245)</f>
        <v/>
      </c>
      <c r="E43" s="48">
        <f>SUMIF('Weekly Profit'!$C$5:$C$245,B43,'Weekly Profit'!$G$5:$G$245)</f>
        <v/>
      </c>
      <c r="F43" s="48">
        <f>SUMIF('Weekly Profit'!$C$5:$C$245,B43,'Weekly Profit'!$H$5:$H$245)</f>
        <v/>
      </c>
      <c r="G43" s="48">
        <f>SUMIF('Weekly Profit'!$C$5:$C$245,B43,'Weekly Profit'!$I$5:$I$245)</f>
        <v/>
      </c>
      <c r="H43" s="48">
        <f>SUMIF('Weekly Profit'!$C$5:$C$245,B43,'Weekly Profit'!$J$5:$J$245)</f>
        <v/>
      </c>
      <c r="I43" s="48">
        <f>INDEX('Weekly Profit'!$K$5:$K$245,B43*4+1)</f>
        <v/>
      </c>
    </row>
    <row r="44">
      <c r="A44" s="1" t="n"/>
      <c r="B44" s="45">
        <f>B43+1</f>
        <v/>
      </c>
      <c r="C44" s="45">
        <f>IF(B44&lt;=Horizon,1,0)</f>
        <v/>
      </c>
      <c r="D44" s="48">
        <f>SUMIF('Weekly Profit'!$C$5:$C$245,B44,'Weekly Profit'!$F$5:$F$245)</f>
        <v/>
      </c>
      <c r="E44" s="48">
        <f>SUMIF('Weekly Profit'!$C$5:$C$245,B44,'Weekly Profit'!$G$5:$G$245)</f>
        <v/>
      </c>
      <c r="F44" s="48">
        <f>SUMIF('Weekly Profit'!$C$5:$C$245,B44,'Weekly Profit'!$H$5:$H$245)</f>
        <v/>
      </c>
      <c r="G44" s="48">
        <f>SUMIF('Weekly Profit'!$C$5:$C$245,B44,'Weekly Profit'!$I$5:$I$245)</f>
        <v/>
      </c>
      <c r="H44" s="48">
        <f>SUMIF('Weekly Profit'!$C$5:$C$245,B44,'Weekly Profit'!$J$5:$J$245)</f>
        <v/>
      </c>
      <c r="I44" s="48">
        <f>INDEX('Weekly Profit'!$K$5:$K$245,B44*4+1)</f>
        <v/>
      </c>
    </row>
    <row r="45">
      <c r="A45" s="1" t="n"/>
      <c r="B45" s="45">
        <f>B44+1</f>
        <v/>
      </c>
      <c r="C45" s="45">
        <f>IF(B45&lt;=Horizon,1,0)</f>
        <v/>
      </c>
      <c r="D45" s="48">
        <f>SUMIF('Weekly Profit'!$C$5:$C$245,B45,'Weekly Profit'!$F$5:$F$245)</f>
        <v/>
      </c>
      <c r="E45" s="48">
        <f>SUMIF('Weekly Profit'!$C$5:$C$245,B45,'Weekly Profit'!$G$5:$G$245)</f>
        <v/>
      </c>
      <c r="F45" s="48">
        <f>SUMIF('Weekly Profit'!$C$5:$C$245,B45,'Weekly Profit'!$H$5:$H$245)</f>
        <v/>
      </c>
      <c r="G45" s="48">
        <f>SUMIF('Weekly Profit'!$C$5:$C$245,B45,'Weekly Profit'!$I$5:$I$245)</f>
        <v/>
      </c>
      <c r="H45" s="48">
        <f>SUMIF('Weekly Profit'!$C$5:$C$245,B45,'Weekly Profit'!$J$5:$J$245)</f>
        <v/>
      </c>
      <c r="I45" s="48">
        <f>INDEX('Weekly Profit'!$K$5:$K$245,B45*4+1)</f>
        <v/>
      </c>
    </row>
    <row r="46">
      <c r="A46" s="1" t="n"/>
      <c r="B46" s="45">
        <f>B45+1</f>
        <v/>
      </c>
      <c r="C46" s="45">
        <f>IF(B46&lt;=Horizon,1,0)</f>
        <v/>
      </c>
      <c r="D46" s="48">
        <f>SUMIF('Weekly Profit'!$C$5:$C$245,B46,'Weekly Profit'!$F$5:$F$245)</f>
        <v/>
      </c>
      <c r="E46" s="48">
        <f>SUMIF('Weekly Profit'!$C$5:$C$245,B46,'Weekly Profit'!$G$5:$G$245)</f>
        <v/>
      </c>
      <c r="F46" s="48">
        <f>SUMIF('Weekly Profit'!$C$5:$C$245,B46,'Weekly Profit'!$H$5:$H$245)</f>
        <v/>
      </c>
      <c r="G46" s="48">
        <f>SUMIF('Weekly Profit'!$C$5:$C$245,B46,'Weekly Profit'!$I$5:$I$245)</f>
        <v/>
      </c>
      <c r="H46" s="48">
        <f>SUMIF('Weekly Profit'!$C$5:$C$245,B46,'Weekly Profit'!$J$5:$J$245)</f>
        <v/>
      </c>
      <c r="I46" s="48">
        <f>INDEX('Weekly Profit'!$K$5:$K$245,B46*4+1)</f>
        <v/>
      </c>
    </row>
    <row r="47">
      <c r="A47" s="1" t="n"/>
      <c r="B47" s="45">
        <f>B46+1</f>
        <v/>
      </c>
      <c r="C47" s="45">
        <f>IF(B47&lt;=Horizon,1,0)</f>
        <v/>
      </c>
      <c r="D47" s="48">
        <f>SUMIF('Weekly Profit'!$C$5:$C$245,B47,'Weekly Profit'!$F$5:$F$245)</f>
        <v/>
      </c>
      <c r="E47" s="48">
        <f>SUMIF('Weekly Profit'!$C$5:$C$245,B47,'Weekly Profit'!$G$5:$G$245)</f>
        <v/>
      </c>
      <c r="F47" s="48">
        <f>SUMIF('Weekly Profit'!$C$5:$C$245,B47,'Weekly Profit'!$H$5:$H$245)</f>
        <v/>
      </c>
      <c r="G47" s="48">
        <f>SUMIF('Weekly Profit'!$C$5:$C$245,B47,'Weekly Profit'!$I$5:$I$245)</f>
        <v/>
      </c>
      <c r="H47" s="48">
        <f>SUMIF('Weekly Profit'!$C$5:$C$245,B47,'Weekly Profit'!$J$5:$J$245)</f>
        <v/>
      </c>
      <c r="I47" s="48">
        <f>INDEX('Weekly Profit'!$K$5:$K$245,B47*4+1)</f>
        <v/>
      </c>
    </row>
    <row r="48">
      <c r="A48" s="1" t="n"/>
      <c r="B48" s="45">
        <f>B47+1</f>
        <v/>
      </c>
      <c r="C48" s="45">
        <f>IF(B48&lt;=Horizon,1,0)</f>
        <v/>
      </c>
      <c r="D48" s="48">
        <f>SUMIF('Weekly Profit'!$C$5:$C$245,B48,'Weekly Profit'!$F$5:$F$245)</f>
        <v/>
      </c>
      <c r="E48" s="48">
        <f>SUMIF('Weekly Profit'!$C$5:$C$245,B48,'Weekly Profit'!$G$5:$G$245)</f>
        <v/>
      </c>
      <c r="F48" s="48">
        <f>SUMIF('Weekly Profit'!$C$5:$C$245,B48,'Weekly Profit'!$H$5:$H$245)</f>
        <v/>
      </c>
      <c r="G48" s="48">
        <f>SUMIF('Weekly Profit'!$C$5:$C$245,B48,'Weekly Profit'!$I$5:$I$245)</f>
        <v/>
      </c>
      <c r="H48" s="48">
        <f>SUMIF('Weekly Profit'!$C$5:$C$245,B48,'Weekly Profit'!$J$5:$J$245)</f>
        <v/>
      </c>
      <c r="I48" s="48">
        <f>INDEX('Weekly Profit'!$K$5:$K$245,B48*4+1)</f>
        <v/>
      </c>
    </row>
    <row r="49">
      <c r="A49" s="1" t="n"/>
      <c r="B49" s="45">
        <f>B48+1</f>
        <v/>
      </c>
      <c r="C49" s="45">
        <f>IF(B49&lt;=Horizon,1,0)</f>
        <v/>
      </c>
      <c r="D49" s="48">
        <f>SUMIF('Weekly Profit'!$C$5:$C$245,B49,'Weekly Profit'!$F$5:$F$245)</f>
        <v/>
      </c>
      <c r="E49" s="48">
        <f>SUMIF('Weekly Profit'!$C$5:$C$245,B49,'Weekly Profit'!$G$5:$G$245)</f>
        <v/>
      </c>
      <c r="F49" s="48">
        <f>SUMIF('Weekly Profit'!$C$5:$C$245,B49,'Weekly Profit'!$H$5:$H$245)</f>
        <v/>
      </c>
      <c r="G49" s="48">
        <f>SUMIF('Weekly Profit'!$C$5:$C$245,B49,'Weekly Profit'!$I$5:$I$245)</f>
        <v/>
      </c>
      <c r="H49" s="48">
        <f>SUMIF('Weekly Profit'!$C$5:$C$245,B49,'Weekly Profit'!$J$5:$J$245)</f>
        <v/>
      </c>
      <c r="I49" s="48">
        <f>INDEX('Weekly Profit'!$K$5:$K$245,B49*4+1)</f>
        <v/>
      </c>
    </row>
    <row r="50">
      <c r="A50" s="1" t="n"/>
      <c r="B50" s="45">
        <f>B49+1</f>
        <v/>
      </c>
      <c r="C50" s="45">
        <f>IF(B50&lt;=Horizon,1,0)</f>
        <v/>
      </c>
      <c r="D50" s="48">
        <f>SUMIF('Weekly Profit'!$C$5:$C$245,B50,'Weekly Profit'!$F$5:$F$245)</f>
        <v/>
      </c>
      <c r="E50" s="48">
        <f>SUMIF('Weekly Profit'!$C$5:$C$245,B50,'Weekly Profit'!$G$5:$G$245)</f>
        <v/>
      </c>
      <c r="F50" s="48">
        <f>SUMIF('Weekly Profit'!$C$5:$C$245,B50,'Weekly Profit'!$H$5:$H$245)</f>
        <v/>
      </c>
      <c r="G50" s="48">
        <f>SUMIF('Weekly Profit'!$C$5:$C$245,B50,'Weekly Profit'!$I$5:$I$245)</f>
        <v/>
      </c>
      <c r="H50" s="48">
        <f>SUMIF('Weekly Profit'!$C$5:$C$245,B50,'Weekly Profit'!$J$5:$J$245)</f>
        <v/>
      </c>
      <c r="I50" s="48">
        <f>INDEX('Weekly Profit'!$K$5:$K$245,B50*4+1)</f>
        <v/>
      </c>
    </row>
    <row r="51">
      <c r="A51" s="1" t="n"/>
      <c r="B51" s="45">
        <f>B50+1</f>
        <v/>
      </c>
      <c r="C51" s="45">
        <f>IF(B51&lt;=Horizon,1,0)</f>
        <v/>
      </c>
      <c r="D51" s="48">
        <f>SUMIF('Weekly Profit'!$C$5:$C$245,B51,'Weekly Profit'!$F$5:$F$245)</f>
        <v/>
      </c>
      <c r="E51" s="48">
        <f>SUMIF('Weekly Profit'!$C$5:$C$245,B51,'Weekly Profit'!$G$5:$G$245)</f>
        <v/>
      </c>
      <c r="F51" s="48">
        <f>SUMIF('Weekly Profit'!$C$5:$C$245,B51,'Weekly Profit'!$H$5:$H$245)</f>
        <v/>
      </c>
      <c r="G51" s="48">
        <f>SUMIF('Weekly Profit'!$C$5:$C$245,B51,'Weekly Profit'!$I$5:$I$245)</f>
        <v/>
      </c>
      <c r="H51" s="48">
        <f>SUMIF('Weekly Profit'!$C$5:$C$245,B51,'Weekly Profit'!$J$5:$J$245)</f>
        <v/>
      </c>
      <c r="I51" s="48">
        <f>INDEX('Weekly Profit'!$K$5:$K$245,B51*4+1)</f>
        <v/>
      </c>
    </row>
    <row r="52">
      <c r="A52" s="1" t="n"/>
      <c r="B52" s="45">
        <f>B51+1</f>
        <v/>
      </c>
      <c r="C52" s="45">
        <f>IF(B52&lt;=Horizon,1,0)</f>
        <v/>
      </c>
      <c r="D52" s="48">
        <f>SUMIF('Weekly Profit'!$C$5:$C$245,B52,'Weekly Profit'!$F$5:$F$245)</f>
        <v/>
      </c>
      <c r="E52" s="48">
        <f>SUMIF('Weekly Profit'!$C$5:$C$245,B52,'Weekly Profit'!$G$5:$G$245)</f>
        <v/>
      </c>
      <c r="F52" s="48">
        <f>SUMIF('Weekly Profit'!$C$5:$C$245,B52,'Weekly Profit'!$H$5:$H$245)</f>
        <v/>
      </c>
      <c r="G52" s="48">
        <f>SUMIF('Weekly Profit'!$C$5:$C$245,B52,'Weekly Profit'!$I$5:$I$245)</f>
        <v/>
      </c>
      <c r="H52" s="48">
        <f>SUMIF('Weekly Profit'!$C$5:$C$245,B52,'Weekly Profit'!$J$5:$J$245)</f>
        <v/>
      </c>
      <c r="I52" s="48">
        <f>INDEX('Weekly Profit'!$K$5:$K$245,B52*4+1)</f>
        <v/>
      </c>
    </row>
    <row r="53">
      <c r="A53" s="1" t="n"/>
      <c r="B53" s="45">
        <f>B52+1</f>
        <v/>
      </c>
      <c r="C53" s="45">
        <f>IF(B53&lt;=Horizon,1,0)</f>
        <v/>
      </c>
      <c r="D53" s="48">
        <f>SUMIF('Weekly Profit'!$C$5:$C$245,B53,'Weekly Profit'!$F$5:$F$245)</f>
        <v/>
      </c>
      <c r="E53" s="48">
        <f>SUMIF('Weekly Profit'!$C$5:$C$245,B53,'Weekly Profit'!$G$5:$G$245)</f>
        <v/>
      </c>
      <c r="F53" s="48">
        <f>SUMIF('Weekly Profit'!$C$5:$C$245,B53,'Weekly Profit'!$H$5:$H$245)</f>
        <v/>
      </c>
      <c r="G53" s="48">
        <f>SUMIF('Weekly Profit'!$C$5:$C$245,B53,'Weekly Profit'!$I$5:$I$245)</f>
        <v/>
      </c>
      <c r="H53" s="48">
        <f>SUMIF('Weekly Profit'!$C$5:$C$245,B53,'Weekly Profit'!$J$5:$J$245)</f>
        <v/>
      </c>
      <c r="I53" s="48">
        <f>INDEX('Weekly Profit'!$K$5:$K$245,B53*4+1)</f>
        <v/>
      </c>
    </row>
    <row r="54">
      <c r="A54" s="1" t="n"/>
      <c r="B54" s="45">
        <f>B53+1</f>
        <v/>
      </c>
      <c r="C54" s="45">
        <f>IF(B54&lt;=Horizon,1,0)</f>
        <v/>
      </c>
      <c r="D54" s="48">
        <f>SUMIF('Weekly Profit'!$C$5:$C$245,B54,'Weekly Profit'!$F$5:$F$245)</f>
        <v/>
      </c>
      <c r="E54" s="48">
        <f>SUMIF('Weekly Profit'!$C$5:$C$245,B54,'Weekly Profit'!$G$5:$G$245)</f>
        <v/>
      </c>
      <c r="F54" s="48">
        <f>SUMIF('Weekly Profit'!$C$5:$C$245,B54,'Weekly Profit'!$H$5:$H$245)</f>
        <v/>
      </c>
      <c r="G54" s="48">
        <f>SUMIF('Weekly Profit'!$C$5:$C$245,B54,'Weekly Profit'!$I$5:$I$245)</f>
        <v/>
      </c>
      <c r="H54" s="48">
        <f>SUMIF('Weekly Profit'!$C$5:$C$245,B54,'Weekly Profit'!$J$5:$J$245)</f>
        <v/>
      </c>
      <c r="I54" s="48">
        <f>INDEX('Weekly Profit'!$K$5:$K$245,B54*4+1)</f>
        <v/>
      </c>
    </row>
    <row r="55">
      <c r="A55" s="1" t="n"/>
      <c r="B55" s="45">
        <f>B54+1</f>
        <v/>
      </c>
      <c r="C55" s="45">
        <f>IF(B55&lt;=Horizon,1,0)</f>
        <v/>
      </c>
      <c r="D55" s="48">
        <f>SUMIF('Weekly Profit'!$C$5:$C$245,B55,'Weekly Profit'!$F$5:$F$245)</f>
        <v/>
      </c>
      <c r="E55" s="48">
        <f>SUMIF('Weekly Profit'!$C$5:$C$245,B55,'Weekly Profit'!$G$5:$G$245)</f>
        <v/>
      </c>
      <c r="F55" s="48">
        <f>SUMIF('Weekly Profit'!$C$5:$C$245,B55,'Weekly Profit'!$H$5:$H$245)</f>
        <v/>
      </c>
      <c r="G55" s="48">
        <f>SUMIF('Weekly Profit'!$C$5:$C$245,B55,'Weekly Profit'!$I$5:$I$245)</f>
        <v/>
      </c>
      <c r="H55" s="48">
        <f>SUMIF('Weekly Profit'!$C$5:$C$245,B55,'Weekly Profit'!$J$5:$J$245)</f>
        <v/>
      </c>
      <c r="I55" s="48">
        <f>INDEX('Weekly Profit'!$K$5:$K$245,B55*4+1)</f>
        <v/>
      </c>
    </row>
    <row r="56">
      <c r="A56" s="1" t="n"/>
      <c r="B56" s="45">
        <f>B55+1</f>
        <v/>
      </c>
      <c r="C56" s="45">
        <f>IF(B56&lt;=Horizon,1,0)</f>
        <v/>
      </c>
      <c r="D56" s="48">
        <f>SUMIF('Weekly Profit'!$C$5:$C$245,B56,'Weekly Profit'!$F$5:$F$245)</f>
        <v/>
      </c>
      <c r="E56" s="48">
        <f>SUMIF('Weekly Profit'!$C$5:$C$245,B56,'Weekly Profit'!$G$5:$G$245)</f>
        <v/>
      </c>
      <c r="F56" s="48">
        <f>SUMIF('Weekly Profit'!$C$5:$C$245,B56,'Weekly Profit'!$H$5:$H$245)</f>
        <v/>
      </c>
      <c r="G56" s="48">
        <f>SUMIF('Weekly Profit'!$C$5:$C$245,B56,'Weekly Profit'!$I$5:$I$245)</f>
        <v/>
      </c>
      <c r="H56" s="48">
        <f>SUMIF('Weekly Profit'!$C$5:$C$245,B56,'Weekly Profit'!$J$5:$J$245)</f>
        <v/>
      </c>
      <c r="I56" s="48">
        <f>INDEX('Weekly Profit'!$K$5:$K$245,B56*4+1)</f>
        <v/>
      </c>
    </row>
    <row r="57">
      <c r="A57" s="1" t="n"/>
      <c r="B57" s="45">
        <f>B56+1</f>
        <v/>
      </c>
      <c r="C57" s="45">
        <f>IF(B57&lt;=Horizon,1,0)</f>
        <v/>
      </c>
      <c r="D57" s="48">
        <f>SUMIF('Weekly Profit'!$C$5:$C$245,B57,'Weekly Profit'!$F$5:$F$245)</f>
        <v/>
      </c>
      <c r="E57" s="48">
        <f>SUMIF('Weekly Profit'!$C$5:$C$245,B57,'Weekly Profit'!$G$5:$G$245)</f>
        <v/>
      </c>
      <c r="F57" s="48">
        <f>SUMIF('Weekly Profit'!$C$5:$C$245,B57,'Weekly Profit'!$H$5:$H$245)</f>
        <v/>
      </c>
      <c r="G57" s="48">
        <f>SUMIF('Weekly Profit'!$C$5:$C$245,B57,'Weekly Profit'!$I$5:$I$245)</f>
        <v/>
      </c>
      <c r="H57" s="48">
        <f>SUMIF('Weekly Profit'!$C$5:$C$245,B57,'Weekly Profit'!$J$5:$J$245)</f>
        <v/>
      </c>
      <c r="I57" s="48">
        <f>INDEX('Weekly Profit'!$K$5:$K$245,B57*4+1)</f>
        <v/>
      </c>
    </row>
    <row r="58">
      <c r="A58" s="1" t="n"/>
      <c r="B58" s="45">
        <f>B57+1</f>
        <v/>
      </c>
      <c r="C58" s="45">
        <f>IF(B58&lt;=Horizon,1,0)</f>
        <v/>
      </c>
      <c r="D58" s="48">
        <f>SUMIF('Weekly Profit'!$C$5:$C$245,B58,'Weekly Profit'!$F$5:$F$245)</f>
        <v/>
      </c>
      <c r="E58" s="48">
        <f>SUMIF('Weekly Profit'!$C$5:$C$245,B58,'Weekly Profit'!$G$5:$G$245)</f>
        <v/>
      </c>
      <c r="F58" s="48">
        <f>SUMIF('Weekly Profit'!$C$5:$C$245,B58,'Weekly Profit'!$H$5:$H$245)</f>
        <v/>
      </c>
      <c r="G58" s="48">
        <f>SUMIF('Weekly Profit'!$C$5:$C$245,B58,'Weekly Profit'!$I$5:$I$245)</f>
        <v/>
      </c>
      <c r="H58" s="48">
        <f>SUMIF('Weekly Profit'!$C$5:$C$245,B58,'Weekly Profit'!$J$5:$J$245)</f>
        <v/>
      </c>
      <c r="I58" s="48">
        <f>INDEX('Weekly Profit'!$K$5:$K$245,B58*4+1)</f>
        <v/>
      </c>
    </row>
    <row r="59">
      <c r="A59" s="1" t="n"/>
      <c r="B59" s="45">
        <f>B58+1</f>
        <v/>
      </c>
      <c r="C59" s="45">
        <f>IF(B59&lt;=Horizon,1,0)</f>
        <v/>
      </c>
      <c r="D59" s="48">
        <f>SUMIF('Weekly Profit'!$C$5:$C$245,B59,'Weekly Profit'!$F$5:$F$245)</f>
        <v/>
      </c>
      <c r="E59" s="48">
        <f>SUMIF('Weekly Profit'!$C$5:$C$245,B59,'Weekly Profit'!$G$5:$G$245)</f>
        <v/>
      </c>
      <c r="F59" s="48">
        <f>SUMIF('Weekly Profit'!$C$5:$C$245,B59,'Weekly Profit'!$H$5:$H$245)</f>
        <v/>
      </c>
      <c r="G59" s="48">
        <f>SUMIF('Weekly Profit'!$C$5:$C$245,B59,'Weekly Profit'!$I$5:$I$245)</f>
        <v/>
      </c>
      <c r="H59" s="48">
        <f>SUMIF('Weekly Profit'!$C$5:$C$245,B59,'Weekly Profit'!$J$5:$J$245)</f>
        <v/>
      </c>
      <c r="I59" s="48">
        <f>INDEX('Weekly Profit'!$K$5:$K$245,B59*4+1)</f>
        <v/>
      </c>
    </row>
    <row r="60">
      <c r="A60" s="1" t="n"/>
      <c r="B60" s="45">
        <f>B59+1</f>
        <v/>
      </c>
      <c r="C60" s="45">
        <f>IF(B60&lt;=Horizon,1,0)</f>
        <v/>
      </c>
      <c r="D60" s="48">
        <f>SUMIF('Weekly Profit'!$C$5:$C$245,B60,'Weekly Profit'!$F$5:$F$245)</f>
        <v/>
      </c>
      <c r="E60" s="48">
        <f>SUMIF('Weekly Profit'!$C$5:$C$245,B60,'Weekly Profit'!$G$5:$G$245)</f>
        <v/>
      </c>
      <c r="F60" s="48">
        <f>SUMIF('Weekly Profit'!$C$5:$C$245,B60,'Weekly Profit'!$H$5:$H$245)</f>
        <v/>
      </c>
      <c r="G60" s="48">
        <f>SUMIF('Weekly Profit'!$C$5:$C$245,B60,'Weekly Profit'!$I$5:$I$245)</f>
        <v/>
      </c>
      <c r="H60" s="48">
        <f>SUMIF('Weekly Profit'!$C$5:$C$245,B60,'Weekly Profit'!$J$5:$J$245)</f>
        <v/>
      </c>
      <c r="I60" s="48">
        <f>INDEX('Weekly Profit'!$K$5:$K$245,B60*4+1)</f>
        <v/>
      </c>
    </row>
    <row r="61">
      <c r="A61" s="1" t="n"/>
      <c r="B61" s="45">
        <f>B60+1</f>
        <v/>
      </c>
      <c r="C61" s="45">
        <f>IF(B61&lt;=Horizon,1,0)</f>
        <v/>
      </c>
      <c r="D61" s="48">
        <f>SUMIF('Weekly Profit'!$C$5:$C$245,B61,'Weekly Profit'!$F$5:$F$245)</f>
        <v/>
      </c>
      <c r="E61" s="48">
        <f>SUMIF('Weekly Profit'!$C$5:$C$245,B61,'Weekly Profit'!$G$5:$G$245)</f>
        <v/>
      </c>
      <c r="F61" s="48">
        <f>SUMIF('Weekly Profit'!$C$5:$C$245,B61,'Weekly Profit'!$H$5:$H$245)</f>
        <v/>
      </c>
      <c r="G61" s="48">
        <f>SUMIF('Weekly Profit'!$C$5:$C$245,B61,'Weekly Profit'!$I$5:$I$245)</f>
        <v/>
      </c>
      <c r="H61" s="48">
        <f>SUMIF('Weekly Profit'!$C$5:$C$245,B61,'Weekly Profit'!$J$5:$J$245)</f>
        <v/>
      </c>
      <c r="I61" s="48">
        <f>INDEX('Weekly Profit'!$K$5:$K$245,B61*4+1)</f>
        <v/>
      </c>
    </row>
    <row r="62">
      <c r="A62" s="1" t="n"/>
      <c r="B62" s="45">
        <f>B61+1</f>
        <v/>
      </c>
      <c r="C62" s="45">
        <f>IF(B62&lt;=Horizon,1,0)</f>
        <v/>
      </c>
      <c r="D62" s="48">
        <f>SUMIF('Weekly Profit'!$C$5:$C$245,B62,'Weekly Profit'!$F$5:$F$245)</f>
        <v/>
      </c>
      <c r="E62" s="48">
        <f>SUMIF('Weekly Profit'!$C$5:$C$245,B62,'Weekly Profit'!$G$5:$G$245)</f>
        <v/>
      </c>
      <c r="F62" s="48">
        <f>SUMIF('Weekly Profit'!$C$5:$C$245,B62,'Weekly Profit'!$H$5:$H$245)</f>
        <v/>
      </c>
      <c r="G62" s="48">
        <f>SUMIF('Weekly Profit'!$C$5:$C$245,B62,'Weekly Profit'!$I$5:$I$245)</f>
        <v/>
      </c>
      <c r="H62" s="48">
        <f>SUMIF('Weekly Profit'!$C$5:$C$245,B62,'Weekly Profit'!$J$5:$J$245)</f>
        <v/>
      </c>
      <c r="I62" s="48">
        <f>INDEX('Weekly Profit'!$K$5:$K$245,B62*4+1)</f>
        <v/>
      </c>
    </row>
    <row r="63">
      <c r="A63" s="1" t="n"/>
      <c r="B63" s="45">
        <f>B62+1</f>
        <v/>
      </c>
      <c r="C63" s="45">
        <f>IF(B63&lt;=Horizon,1,0)</f>
        <v/>
      </c>
      <c r="D63" s="48">
        <f>SUMIF('Weekly Profit'!$C$5:$C$245,B63,'Weekly Profit'!$F$5:$F$245)</f>
        <v/>
      </c>
      <c r="E63" s="48">
        <f>SUMIF('Weekly Profit'!$C$5:$C$245,B63,'Weekly Profit'!$G$5:$G$245)</f>
        <v/>
      </c>
      <c r="F63" s="48">
        <f>SUMIF('Weekly Profit'!$C$5:$C$245,B63,'Weekly Profit'!$H$5:$H$245)</f>
        <v/>
      </c>
      <c r="G63" s="48">
        <f>SUMIF('Weekly Profit'!$C$5:$C$245,B63,'Weekly Profit'!$I$5:$I$245)</f>
        <v/>
      </c>
      <c r="H63" s="48">
        <f>SUMIF('Weekly Profit'!$C$5:$C$245,B63,'Weekly Profit'!$J$5:$J$245)</f>
        <v/>
      </c>
      <c r="I63" s="48">
        <f>INDEX('Weekly Profit'!$K$5:$K$245,B63*4+1)</f>
        <v/>
      </c>
    </row>
    <row r="64">
      <c r="A64" s="1" t="n"/>
      <c r="B64" s="45">
        <f>B63+1</f>
        <v/>
      </c>
      <c r="C64" s="45">
        <f>IF(B64&lt;=Horizon,1,0)</f>
        <v/>
      </c>
      <c r="D64" s="48">
        <f>SUMIF('Weekly Profit'!$C$5:$C$245,B64,'Weekly Profit'!$F$5:$F$245)</f>
        <v/>
      </c>
      <c r="E64" s="48">
        <f>SUMIF('Weekly Profit'!$C$5:$C$245,B64,'Weekly Profit'!$G$5:$G$245)</f>
        <v/>
      </c>
      <c r="F64" s="48">
        <f>SUMIF('Weekly Profit'!$C$5:$C$245,B64,'Weekly Profit'!$H$5:$H$245)</f>
        <v/>
      </c>
      <c r="G64" s="48">
        <f>SUMIF('Weekly Profit'!$C$5:$C$245,B64,'Weekly Profit'!$I$5:$I$245)</f>
        <v/>
      </c>
      <c r="H64" s="48">
        <f>SUMIF('Weekly Profit'!$C$5:$C$245,B64,'Weekly Profit'!$J$5:$J$245)</f>
        <v/>
      </c>
      <c r="I64" s="48">
        <f>INDEX('Weekly Profit'!$K$5:$K$245,B64*4+1)</f>
        <v/>
      </c>
    </row>
    <row r="65">
      <c r="A65" s="1" t="n"/>
      <c r="B65" s="45">
        <f>B64+1</f>
        <v/>
      </c>
      <c r="C65" s="45">
        <f>IF(B65&lt;=Horizon,1,0)</f>
        <v/>
      </c>
      <c r="D65" s="48">
        <f>SUMIF('Weekly Profit'!$C$5:$C$245,B65,'Weekly Profit'!$F$5:$F$245)</f>
        <v/>
      </c>
      <c r="E65" s="48">
        <f>SUMIF('Weekly Profit'!$C$5:$C$245,B65,'Weekly Profit'!$G$5:$G$245)</f>
        <v/>
      </c>
      <c r="F65" s="48">
        <f>SUMIF('Weekly Profit'!$C$5:$C$245,B65,'Weekly Profit'!$H$5:$H$245)</f>
        <v/>
      </c>
      <c r="G65" s="48">
        <f>SUMIF('Weekly Profit'!$C$5:$C$245,B65,'Weekly Profit'!$I$5:$I$245)</f>
        <v/>
      </c>
      <c r="H65" s="48">
        <f>SUMIF('Weekly Profit'!$C$5:$C$245,B65,'Weekly Profit'!$J$5:$J$245)</f>
        <v/>
      </c>
      <c r="I65" s="48">
        <f>INDEX('Weekly Profit'!$K$5:$K$245,B65*4+1)</f>
        <v/>
      </c>
    </row>
  </sheetData>
  <conditionalFormatting sqref="B5:I65">
    <cfRule type="expression" priority="1" dxfId="2">
      <formula>$C5=0</formula>
    </cfRule>
  </conditionalFormatting>
  <conditionalFormatting sqref="I5:I65">
    <cfRule type="cellIs" priority="2" operator="lessThan" dxfId="1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52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9" customWidth="1" min="4" max="4"/>
    <col width="14" customWidth="1" min="5" max="5"/>
    <col width="13" customWidth="1" min="6" max="6"/>
    <col width="13" customWidth="1" min="7" max="7"/>
    <col width="13" customWidth="1" min="8" max="8"/>
    <col width="15" customWidth="1" min="9" max="9"/>
    <col width="13" customWidth="1" min="10" max="10"/>
    <col width="14" customWidth="1" min="11" max="11"/>
  </cols>
  <sheetData>
    <row r="1">
      <c r="A1" s="1" t="n"/>
      <c r="B1" s="2" t="inlineStr">
        <is>
          <t>Cash Flow (active scenario)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" t="n"/>
      <c r="B2" s="3" t="inlineStr">
        <is>
          <t>When money actually moves. Customers pay after the payment terms, so cash dips at the start even when the business is profitable. Profit and ROI are on the Summary sheet.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1" t="n"/>
      <c r="B4" s="4" t="inlineStr">
        <is>
          <t>Cash summary</t>
        </is>
      </c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>
      <c r="A5" s="1" t="n"/>
      <c r="B5" s="24" t="inlineStr">
        <is>
          <t>Peak cash needed</t>
        </is>
      </c>
      <c r="C5" s="49">
        <f>-MIN(0,MIN($K$12:$K$252))</f>
        <v/>
      </c>
      <c r="D5" s="3" t="inlineStr">
        <is>
          <t>Most money out of pocket at once: what you need in the bank to start.</t>
        </is>
      </c>
      <c r="E5" s="1" t="n"/>
      <c r="F5" s="1" t="n"/>
      <c r="G5" s="1" t="n"/>
      <c r="H5" s="1" t="n"/>
      <c r="I5" s="1" t="n"/>
      <c r="J5" s="1" t="n"/>
      <c r="K5" s="1" t="n"/>
    </row>
    <row r="6">
      <c r="A6" s="1" t="n"/>
      <c r="B6" s="24" t="inlineStr">
        <is>
          <t>Cash payback</t>
        </is>
      </c>
      <c r="C6" s="50">
        <f>IF(Invest=0,"n/a",IF(COUNT($J$12:$J$252)=0,"Beyond horizon",MIN($J$12:$J$252)))</f>
        <v/>
      </c>
      <c r="D6" s="3" t="inlineStr">
        <is>
          <t>When cash in the bank first turns positive.</t>
        </is>
      </c>
      <c r="E6" s="1" t="n"/>
      <c r="F6" s="1" t="n"/>
      <c r="G6" s="1" t="n"/>
      <c r="H6" s="1" t="n"/>
      <c r="I6" s="1" t="n"/>
      <c r="J6" s="1" t="n"/>
      <c r="K6" s="1" t="n"/>
    </row>
    <row r="7">
      <c r="A7" s="1" t="n"/>
      <c r="B7" s="24" t="inlineStr">
        <is>
          <t>Cash at end of horizon</t>
        </is>
      </c>
      <c r="C7" s="49">
        <f>INDEX($I$12:$I$252,Horizon*4+1)</f>
        <v/>
      </c>
      <c r="D7" s="3" t="inlineStr">
        <is>
          <t>Cash in hand on the last day of the horizon.</t>
        </is>
      </c>
      <c r="E7" s="1" t="n"/>
      <c r="F7" s="1" t="n"/>
      <c r="G7" s="1" t="n"/>
      <c r="H7" s="1" t="n"/>
      <c r="I7" s="1" t="n"/>
      <c r="J7" s="1" t="n"/>
      <c r="K7" s="1" t="n"/>
    </row>
    <row r="8">
      <c r="A8" s="1" t="n"/>
      <c r="B8" s="24" t="inlineStr">
        <is>
          <t>Still owed by customers then</t>
        </is>
      </c>
      <c r="C8" s="49">
        <f>Horizon*Revenue-SUMPRODUCT($E$12:$E$252,$D$12:$D$252)</f>
        <v/>
      </c>
      <c r="D8" s="3" t="inlineStr">
        <is>
          <t>Earned but not yet paid because of the payment terms.</t>
        </is>
      </c>
      <c r="E8" s="1" t="n"/>
      <c r="F8" s="1" t="n"/>
      <c r="G8" s="1" t="n"/>
      <c r="H8" s="1" t="n"/>
      <c r="I8" s="1" t="n"/>
      <c r="J8" s="1" t="n"/>
      <c r="K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</row>
    <row r="11" ht="32" customHeight="1">
      <c r="A11" s="1" t="n"/>
      <c r="B11" s="46" t="inlineStr">
        <is>
          <t>Week</t>
        </is>
      </c>
      <c r="C11" s="46" t="inlineStr">
        <is>
          <t>Month</t>
        </is>
      </c>
      <c r="D11" s="46" t="inlineStr">
        <is>
          <t>In horizon</t>
        </is>
      </c>
      <c r="E11" s="46" t="inlineStr">
        <is>
          <t>Customer receipts</t>
        </is>
      </c>
      <c r="F11" s="46" t="inlineStr">
        <is>
          <t>Collection cost</t>
        </is>
      </c>
      <c r="G11" s="46" t="inlineStr">
        <is>
          <t>Device payments</t>
        </is>
      </c>
      <c r="H11" s="46" t="inlineStr">
        <is>
          <t>Net cash</t>
        </is>
      </c>
      <c r="I11" s="46" t="inlineStr">
        <is>
          <t>Cumulative cash</t>
        </is>
      </c>
      <c r="J11" s="46" t="inlineStr">
        <is>
          <t>Payback point (months)</t>
        </is>
      </c>
      <c r="K11" s="46" t="inlineStr">
        <is>
          <t>Cash within horizon</t>
        </is>
      </c>
    </row>
    <row r="12">
      <c r="A12" s="1" t="n"/>
      <c r="B12" s="51">
        <f>'Weekly Profit'!B5</f>
        <v/>
      </c>
      <c r="C12" s="51">
        <f>'Weekly Profit'!C5</f>
        <v/>
      </c>
      <c r="D12" s="51">
        <f>'Weekly Profit'!D5</f>
        <v/>
      </c>
      <c r="E12" s="7" t="n">
        <v>0</v>
      </c>
      <c r="F12" s="48">
        <f>'Weekly Profit'!H5</f>
        <v/>
      </c>
      <c r="G12" s="48">
        <f>'Weekly Profit'!I5</f>
        <v/>
      </c>
      <c r="H12" s="7">
        <f>E12+F12+G12</f>
        <v/>
      </c>
      <c r="I12" s="7">
        <f>H12</f>
        <v/>
      </c>
      <c r="J12" s="47">
        <f>""</f>
        <v/>
      </c>
      <c r="K12" s="7">
        <f>IF(D12=1,I12,0)</f>
        <v/>
      </c>
    </row>
    <row r="13">
      <c r="A13" s="1" t="n"/>
      <c r="B13" s="51">
        <f>'Weekly Profit'!B6</f>
        <v/>
      </c>
      <c r="C13" s="51">
        <f>'Weekly Profit'!C6</f>
        <v/>
      </c>
      <c r="D13" s="51">
        <f>'Weekly Profit'!D6</f>
        <v/>
      </c>
      <c r="E13" s="7">
        <f>RevenueWk*MAX(0,MIN(1,B13-PayDays/7))</f>
        <v/>
      </c>
      <c r="F13" s="48">
        <f>'Weekly Profit'!H6</f>
        <v/>
      </c>
      <c r="G13" s="48">
        <f>'Weekly Profit'!I6</f>
        <v/>
      </c>
      <c r="H13" s="7">
        <f>E13+F13+G13</f>
        <v/>
      </c>
      <c r="I13" s="7">
        <f>I12+H13</f>
        <v/>
      </c>
      <c r="J13" s="47">
        <f>IF(AND(D13=1,I12&lt;0,I13&gt;=0,H13&gt;0),(B12+(-I12/H13))/4,"")</f>
        <v/>
      </c>
      <c r="K13" s="7">
        <f>IF(D13=1,I13,0)</f>
        <v/>
      </c>
    </row>
    <row r="14">
      <c r="A14" s="1" t="n"/>
      <c r="B14" s="51">
        <f>'Weekly Profit'!B7</f>
        <v/>
      </c>
      <c r="C14" s="51">
        <f>'Weekly Profit'!C7</f>
        <v/>
      </c>
      <c r="D14" s="51">
        <f>'Weekly Profit'!D7</f>
        <v/>
      </c>
      <c r="E14" s="7">
        <f>RevenueWk*MAX(0,MIN(1,B14-PayDays/7))</f>
        <v/>
      </c>
      <c r="F14" s="48">
        <f>'Weekly Profit'!H7</f>
        <v/>
      </c>
      <c r="G14" s="48">
        <f>'Weekly Profit'!I7</f>
        <v/>
      </c>
      <c r="H14" s="7">
        <f>E14+F14+G14</f>
        <v/>
      </c>
      <c r="I14" s="7">
        <f>I13+H14</f>
        <v/>
      </c>
      <c r="J14" s="47">
        <f>IF(AND(D14=1,I13&lt;0,I14&gt;=0,H14&gt;0),(B13+(-I13/H14))/4,"")</f>
        <v/>
      </c>
      <c r="K14" s="7">
        <f>IF(D14=1,I14,0)</f>
        <v/>
      </c>
    </row>
    <row r="15">
      <c r="A15" s="1" t="n"/>
      <c r="B15" s="51">
        <f>'Weekly Profit'!B8</f>
        <v/>
      </c>
      <c r="C15" s="51">
        <f>'Weekly Profit'!C8</f>
        <v/>
      </c>
      <c r="D15" s="51">
        <f>'Weekly Profit'!D8</f>
        <v/>
      </c>
      <c r="E15" s="7">
        <f>RevenueWk*MAX(0,MIN(1,B15-PayDays/7))</f>
        <v/>
      </c>
      <c r="F15" s="48">
        <f>'Weekly Profit'!H8</f>
        <v/>
      </c>
      <c r="G15" s="48">
        <f>'Weekly Profit'!I8</f>
        <v/>
      </c>
      <c r="H15" s="7">
        <f>E15+F15+G15</f>
        <v/>
      </c>
      <c r="I15" s="7">
        <f>I14+H15</f>
        <v/>
      </c>
      <c r="J15" s="47">
        <f>IF(AND(D15=1,I14&lt;0,I15&gt;=0,H15&gt;0),(B14+(-I14/H15))/4,"")</f>
        <v/>
      </c>
      <c r="K15" s="7">
        <f>IF(D15=1,I15,0)</f>
        <v/>
      </c>
    </row>
    <row r="16">
      <c r="A16" s="1" t="n"/>
      <c r="B16" s="51">
        <f>'Weekly Profit'!B9</f>
        <v/>
      </c>
      <c r="C16" s="51">
        <f>'Weekly Profit'!C9</f>
        <v/>
      </c>
      <c r="D16" s="51">
        <f>'Weekly Profit'!D9</f>
        <v/>
      </c>
      <c r="E16" s="7">
        <f>RevenueWk*MAX(0,MIN(1,B16-PayDays/7))</f>
        <v/>
      </c>
      <c r="F16" s="48">
        <f>'Weekly Profit'!H9</f>
        <v/>
      </c>
      <c r="G16" s="48">
        <f>'Weekly Profit'!I9</f>
        <v/>
      </c>
      <c r="H16" s="7">
        <f>E16+F16+G16</f>
        <v/>
      </c>
      <c r="I16" s="7">
        <f>I15+H16</f>
        <v/>
      </c>
      <c r="J16" s="47">
        <f>IF(AND(D16=1,I15&lt;0,I16&gt;=0,H16&gt;0),(B15+(-I15/H16))/4,"")</f>
        <v/>
      </c>
      <c r="K16" s="7">
        <f>IF(D16=1,I16,0)</f>
        <v/>
      </c>
    </row>
    <row r="17">
      <c r="A17" s="1" t="n"/>
      <c r="B17" s="51">
        <f>'Weekly Profit'!B10</f>
        <v/>
      </c>
      <c r="C17" s="51">
        <f>'Weekly Profit'!C10</f>
        <v/>
      </c>
      <c r="D17" s="51">
        <f>'Weekly Profit'!D10</f>
        <v/>
      </c>
      <c r="E17" s="7">
        <f>RevenueWk*MAX(0,MIN(1,B17-PayDays/7))</f>
        <v/>
      </c>
      <c r="F17" s="48">
        <f>'Weekly Profit'!H10</f>
        <v/>
      </c>
      <c r="G17" s="48">
        <f>'Weekly Profit'!I10</f>
        <v/>
      </c>
      <c r="H17" s="7">
        <f>E17+F17+G17</f>
        <v/>
      </c>
      <c r="I17" s="7">
        <f>I16+H17</f>
        <v/>
      </c>
      <c r="J17" s="47">
        <f>IF(AND(D17=1,I16&lt;0,I17&gt;=0,H17&gt;0),(B16+(-I16/H17))/4,"")</f>
        <v/>
      </c>
      <c r="K17" s="7">
        <f>IF(D17=1,I17,0)</f>
        <v/>
      </c>
    </row>
    <row r="18">
      <c r="A18" s="1" t="n"/>
      <c r="B18" s="51">
        <f>'Weekly Profit'!B11</f>
        <v/>
      </c>
      <c r="C18" s="51">
        <f>'Weekly Profit'!C11</f>
        <v/>
      </c>
      <c r="D18" s="51">
        <f>'Weekly Profit'!D11</f>
        <v/>
      </c>
      <c r="E18" s="7">
        <f>RevenueWk*MAX(0,MIN(1,B18-PayDays/7))</f>
        <v/>
      </c>
      <c r="F18" s="48">
        <f>'Weekly Profit'!H11</f>
        <v/>
      </c>
      <c r="G18" s="48">
        <f>'Weekly Profit'!I11</f>
        <v/>
      </c>
      <c r="H18" s="7">
        <f>E18+F18+G18</f>
        <v/>
      </c>
      <c r="I18" s="7">
        <f>I17+H18</f>
        <v/>
      </c>
      <c r="J18" s="47">
        <f>IF(AND(D18=1,I17&lt;0,I18&gt;=0,H18&gt;0),(B17+(-I17/H18))/4,"")</f>
        <v/>
      </c>
      <c r="K18" s="7">
        <f>IF(D18=1,I18,0)</f>
        <v/>
      </c>
    </row>
    <row r="19">
      <c r="A19" s="1" t="n"/>
      <c r="B19" s="51">
        <f>'Weekly Profit'!B12</f>
        <v/>
      </c>
      <c r="C19" s="51">
        <f>'Weekly Profit'!C12</f>
        <v/>
      </c>
      <c r="D19" s="51">
        <f>'Weekly Profit'!D12</f>
        <v/>
      </c>
      <c r="E19" s="7">
        <f>RevenueWk*MAX(0,MIN(1,B19-PayDays/7))</f>
        <v/>
      </c>
      <c r="F19" s="48">
        <f>'Weekly Profit'!H12</f>
        <v/>
      </c>
      <c r="G19" s="48">
        <f>'Weekly Profit'!I12</f>
        <v/>
      </c>
      <c r="H19" s="7">
        <f>E19+F19+G19</f>
        <v/>
      </c>
      <c r="I19" s="7">
        <f>I18+H19</f>
        <v/>
      </c>
      <c r="J19" s="47">
        <f>IF(AND(D19=1,I18&lt;0,I19&gt;=0,H19&gt;0),(B18+(-I18/H19))/4,"")</f>
        <v/>
      </c>
      <c r="K19" s="7">
        <f>IF(D19=1,I19,0)</f>
        <v/>
      </c>
    </row>
    <row r="20">
      <c r="A20" s="1" t="n"/>
      <c r="B20" s="51">
        <f>'Weekly Profit'!B13</f>
        <v/>
      </c>
      <c r="C20" s="51">
        <f>'Weekly Profit'!C13</f>
        <v/>
      </c>
      <c r="D20" s="51">
        <f>'Weekly Profit'!D13</f>
        <v/>
      </c>
      <c r="E20" s="7">
        <f>RevenueWk*MAX(0,MIN(1,B20-PayDays/7))</f>
        <v/>
      </c>
      <c r="F20" s="48">
        <f>'Weekly Profit'!H13</f>
        <v/>
      </c>
      <c r="G20" s="48">
        <f>'Weekly Profit'!I13</f>
        <v/>
      </c>
      <c r="H20" s="7">
        <f>E20+F20+G20</f>
        <v/>
      </c>
      <c r="I20" s="7">
        <f>I19+H20</f>
        <v/>
      </c>
      <c r="J20" s="47">
        <f>IF(AND(D20=1,I19&lt;0,I20&gt;=0,H20&gt;0),(B19+(-I19/H20))/4,"")</f>
        <v/>
      </c>
      <c r="K20" s="7">
        <f>IF(D20=1,I20,0)</f>
        <v/>
      </c>
    </row>
    <row r="21">
      <c r="A21" s="1" t="n"/>
      <c r="B21" s="51">
        <f>'Weekly Profit'!B14</f>
        <v/>
      </c>
      <c r="C21" s="51">
        <f>'Weekly Profit'!C14</f>
        <v/>
      </c>
      <c r="D21" s="51">
        <f>'Weekly Profit'!D14</f>
        <v/>
      </c>
      <c r="E21" s="7">
        <f>RevenueWk*MAX(0,MIN(1,B21-PayDays/7))</f>
        <v/>
      </c>
      <c r="F21" s="48">
        <f>'Weekly Profit'!H14</f>
        <v/>
      </c>
      <c r="G21" s="48">
        <f>'Weekly Profit'!I14</f>
        <v/>
      </c>
      <c r="H21" s="7">
        <f>E21+F21+G21</f>
        <v/>
      </c>
      <c r="I21" s="7">
        <f>I20+H21</f>
        <v/>
      </c>
      <c r="J21" s="47">
        <f>IF(AND(D21=1,I20&lt;0,I21&gt;=0,H21&gt;0),(B20+(-I20/H21))/4,"")</f>
        <v/>
      </c>
      <c r="K21" s="7">
        <f>IF(D21=1,I21,0)</f>
        <v/>
      </c>
    </row>
    <row r="22">
      <c r="A22" s="1" t="n"/>
      <c r="B22" s="51">
        <f>'Weekly Profit'!B15</f>
        <v/>
      </c>
      <c r="C22" s="51">
        <f>'Weekly Profit'!C15</f>
        <v/>
      </c>
      <c r="D22" s="51">
        <f>'Weekly Profit'!D15</f>
        <v/>
      </c>
      <c r="E22" s="7">
        <f>RevenueWk*MAX(0,MIN(1,B22-PayDays/7))</f>
        <v/>
      </c>
      <c r="F22" s="48">
        <f>'Weekly Profit'!H15</f>
        <v/>
      </c>
      <c r="G22" s="48">
        <f>'Weekly Profit'!I15</f>
        <v/>
      </c>
      <c r="H22" s="7">
        <f>E22+F22+G22</f>
        <v/>
      </c>
      <c r="I22" s="7">
        <f>I21+H22</f>
        <v/>
      </c>
      <c r="J22" s="47">
        <f>IF(AND(D22=1,I21&lt;0,I22&gt;=0,H22&gt;0),(B21+(-I21/H22))/4,"")</f>
        <v/>
      </c>
      <c r="K22" s="7">
        <f>IF(D22=1,I22,0)</f>
        <v/>
      </c>
    </row>
    <row r="23">
      <c r="A23" s="1" t="n"/>
      <c r="B23" s="51">
        <f>'Weekly Profit'!B16</f>
        <v/>
      </c>
      <c r="C23" s="51">
        <f>'Weekly Profit'!C16</f>
        <v/>
      </c>
      <c r="D23" s="51">
        <f>'Weekly Profit'!D16</f>
        <v/>
      </c>
      <c r="E23" s="7">
        <f>RevenueWk*MAX(0,MIN(1,B23-PayDays/7))</f>
        <v/>
      </c>
      <c r="F23" s="48">
        <f>'Weekly Profit'!H16</f>
        <v/>
      </c>
      <c r="G23" s="48">
        <f>'Weekly Profit'!I16</f>
        <v/>
      </c>
      <c r="H23" s="7">
        <f>E23+F23+G23</f>
        <v/>
      </c>
      <c r="I23" s="7">
        <f>I22+H23</f>
        <v/>
      </c>
      <c r="J23" s="47">
        <f>IF(AND(D23=1,I22&lt;0,I23&gt;=0,H23&gt;0),(B22+(-I22/H23))/4,"")</f>
        <v/>
      </c>
      <c r="K23" s="7">
        <f>IF(D23=1,I23,0)</f>
        <v/>
      </c>
    </row>
    <row r="24">
      <c r="A24" s="1" t="n"/>
      <c r="B24" s="51">
        <f>'Weekly Profit'!B17</f>
        <v/>
      </c>
      <c r="C24" s="51">
        <f>'Weekly Profit'!C17</f>
        <v/>
      </c>
      <c r="D24" s="51">
        <f>'Weekly Profit'!D17</f>
        <v/>
      </c>
      <c r="E24" s="7">
        <f>RevenueWk*MAX(0,MIN(1,B24-PayDays/7))</f>
        <v/>
      </c>
      <c r="F24" s="48">
        <f>'Weekly Profit'!H17</f>
        <v/>
      </c>
      <c r="G24" s="48">
        <f>'Weekly Profit'!I17</f>
        <v/>
      </c>
      <c r="H24" s="7">
        <f>E24+F24+G24</f>
        <v/>
      </c>
      <c r="I24" s="7">
        <f>I23+H24</f>
        <v/>
      </c>
      <c r="J24" s="47">
        <f>IF(AND(D24=1,I23&lt;0,I24&gt;=0,H24&gt;0),(B23+(-I23/H24))/4,"")</f>
        <v/>
      </c>
      <c r="K24" s="7">
        <f>IF(D24=1,I24,0)</f>
        <v/>
      </c>
    </row>
    <row r="25">
      <c r="A25" s="1" t="n"/>
      <c r="B25" s="51">
        <f>'Weekly Profit'!B18</f>
        <v/>
      </c>
      <c r="C25" s="51">
        <f>'Weekly Profit'!C18</f>
        <v/>
      </c>
      <c r="D25" s="51">
        <f>'Weekly Profit'!D18</f>
        <v/>
      </c>
      <c r="E25" s="7">
        <f>RevenueWk*MAX(0,MIN(1,B25-PayDays/7))</f>
        <v/>
      </c>
      <c r="F25" s="48">
        <f>'Weekly Profit'!H18</f>
        <v/>
      </c>
      <c r="G25" s="48">
        <f>'Weekly Profit'!I18</f>
        <v/>
      </c>
      <c r="H25" s="7">
        <f>E25+F25+G25</f>
        <v/>
      </c>
      <c r="I25" s="7">
        <f>I24+H25</f>
        <v/>
      </c>
      <c r="J25" s="47">
        <f>IF(AND(D25=1,I24&lt;0,I25&gt;=0,H25&gt;0),(B24+(-I24/H25))/4,"")</f>
        <v/>
      </c>
      <c r="K25" s="7">
        <f>IF(D25=1,I25,0)</f>
        <v/>
      </c>
    </row>
    <row r="26">
      <c r="A26" s="1" t="n"/>
      <c r="B26" s="51">
        <f>'Weekly Profit'!B19</f>
        <v/>
      </c>
      <c r="C26" s="51">
        <f>'Weekly Profit'!C19</f>
        <v/>
      </c>
      <c r="D26" s="51">
        <f>'Weekly Profit'!D19</f>
        <v/>
      </c>
      <c r="E26" s="7">
        <f>RevenueWk*MAX(0,MIN(1,B26-PayDays/7))</f>
        <v/>
      </c>
      <c r="F26" s="48">
        <f>'Weekly Profit'!H19</f>
        <v/>
      </c>
      <c r="G26" s="48">
        <f>'Weekly Profit'!I19</f>
        <v/>
      </c>
      <c r="H26" s="7">
        <f>E26+F26+G26</f>
        <v/>
      </c>
      <c r="I26" s="7">
        <f>I25+H26</f>
        <v/>
      </c>
      <c r="J26" s="47">
        <f>IF(AND(D26=1,I25&lt;0,I26&gt;=0,H26&gt;0),(B25+(-I25/H26))/4,"")</f>
        <v/>
      </c>
      <c r="K26" s="7">
        <f>IF(D26=1,I26,0)</f>
        <v/>
      </c>
    </row>
    <row r="27">
      <c r="A27" s="1" t="n"/>
      <c r="B27" s="51">
        <f>'Weekly Profit'!B20</f>
        <v/>
      </c>
      <c r="C27" s="51">
        <f>'Weekly Profit'!C20</f>
        <v/>
      </c>
      <c r="D27" s="51">
        <f>'Weekly Profit'!D20</f>
        <v/>
      </c>
      <c r="E27" s="7">
        <f>RevenueWk*MAX(0,MIN(1,B27-PayDays/7))</f>
        <v/>
      </c>
      <c r="F27" s="48">
        <f>'Weekly Profit'!H20</f>
        <v/>
      </c>
      <c r="G27" s="48">
        <f>'Weekly Profit'!I20</f>
        <v/>
      </c>
      <c r="H27" s="7">
        <f>E27+F27+G27</f>
        <v/>
      </c>
      <c r="I27" s="7">
        <f>I26+H27</f>
        <v/>
      </c>
      <c r="J27" s="47">
        <f>IF(AND(D27=1,I26&lt;0,I27&gt;=0,H27&gt;0),(B26+(-I26/H27))/4,"")</f>
        <v/>
      </c>
      <c r="K27" s="7">
        <f>IF(D27=1,I27,0)</f>
        <v/>
      </c>
    </row>
    <row r="28">
      <c r="A28" s="1" t="n"/>
      <c r="B28" s="51">
        <f>'Weekly Profit'!B21</f>
        <v/>
      </c>
      <c r="C28" s="51">
        <f>'Weekly Profit'!C21</f>
        <v/>
      </c>
      <c r="D28" s="51">
        <f>'Weekly Profit'!D21</f>
        <v/>
      </c>
      <c r="E28" s="7">
        <f>RevenueWk*MAX(0,MIN(1,B28-PayDays/7))</f>
        <v/>
      </c>
      <c r="F28" s="48">
        <f>'Weekly Profit'!H21</f>
        <v/>
      </c>
      <c r="G28" s="48">
        <f>'Weekly Profit'!I21</f>
        <v/>
      </c>
      <c r="H28" s="7">
        <f>E28+F28+G28</f>
        <v/>
      </c>
      <c r="I28" s="7">
        <f>I27+H28</f>
        <v/>
      </c>
      <c r="J28" s="47">
        <f>IF(AND(D28=1,I27&lt;0,I28&gt;=0,H28&gt;0),(B27+(-I27/H28))/4,"")</f>
        <v/>
      </c>
      <c r="K28" s="7">
        <f>IF(D28=1,I28,0)</f>
        <v/>
      </c>
    </row>
    <row r="29">
      <c r="A29" s="1" t="n"/>
      <c r="B29" s="51">
        <f>'Weekly Profit'!B22</f>
        <v/>
      </c>
      <c r="C29" s="51">
        <f>'Weekly Profit'!C22</f>
        <v/>
      </c>
      <c r="D29" s="51">
        <f>'Weekly Profit'!D22</f>
        <v/>
      </c>
      <c r="E29" s="7">
        <f>RevenueWk*MAX(0,MIN(1,B29-PayDays/7))</f>
        <v/>
      </c>
      <c r="F29" s="48">
        <f>'Weekly Profit'!H22</f>
        <v/>
      </c>
      <c r="G29" s="48">
        <f>'Weekly Profit'!I22</f>
        <v/>
      </c>
      <c r="H29" s="7">
        <f>E29+F29+G29</f>
        <v/>
      </c>
      <c r="I29" s="7">
        <f>I28+H29</f>
        <v/>
      </c>
      <c r="J29" s="47">
        <f>IF(AND(D29=1,I28&lt;0,I29&gt;=0,H29&gt;0),(B28+(-I28/H29))/4,"")</f>
        <v/>
      </c>
      <c r="K29" s="7">
        <f>IF(D29=1,I29,0)</f>
        <v/>
      </c>
    </row>
    <row r="30">
      <c r="A30" s="1" t="n"/>
      <c r="B30" s="51">
        <f>'Weekly Profit'!B23</f>
        <v/>
      </c>
      <c r="C30" s="51">
        <f>'Weekly Profit'!C23</f>
        <v/>
      </c>
      <c r="D30" s="51">
        <f>'Weekly Profit'!D23</f>
        <v/>
      </c>
      <c r="E30" s="7">
        <f>RevenueWk*MAX(0,MIN(1,B30-PayDays/7))</f>
        <v/>
      </c>
      <c r="F30" s="48">
        <f>'Weekly Profit'!H23</f>
        <v/>
      </c>
      <c r="G30" s="48">
        <f>'Weekly Profit'!I23</f>
        <v/>
      </c>
      <c r="H30" s="7">
        <f>E30+F30+G30</f>
        <v/>
      </c>
      <c r="I30" s="7">
        <f>I29+H30</f>
        <v/>
      </c>
      <c r="J30" s="47">
        <f>IF(AND(D30=1,I29&lt;0,I30&gt;=0,H30&gt;0),(B29+(-I29/H30))/4,"")</f>
        <v/>
      </c>
      <c r="K30" s="7">
        <f>IF(D30=1,I30,0)</f>
        <v/>
      </c>
    </row>
    <row r="31">
      <c r="A31" s="1" t="n"/>
      <c r="B31" s="51">
        <f>'Weekly Profit'!B24</f>
        <v/>
      </c>
      <c r="C31" s="51">
        <f>'Weekly Profit'!C24</f>
        <v/>
      </c>
      <c r="D31" s="51">
        <f>'Weekly Profit'!D24</f>
        <v/>
      </c>
      <c r="E31" s="7">
        <f>RevenueWk*MAX(0,MIN(1,B31-PayDays/7))</f>
        <v/>
      </c>
      <c r="F31" s="48">
        <f>'Weekly Profit'!H24</f>
        <v/>
      </c>
      <c r="G31" s="48">
        <f>'Weekly Profit'!I24</f>
        <v/>
      </c>
      <c r="H31" s="7">
        <f>E31+F31+G31</f>
        <v/>
      </c>
      <c r="I31" s="7">
        <f>I30+H31</f>
        <v/>
      </c>
      <c r="J31" s="47">
        <f>IF(AND(D31=1,I30&lt;0,I31&gt;=0,H31&gt;0),(B30+(-I30/H31))/4,"")</f>
        <v/>
      </c>
      <c r="K31" s="7">
        <f>IF(D31=1,I31,0)</f>
        <v/>
      </c>
    </row>
    <row r="32">
      <c r="A32" s="1" t="n"/>
      <c r="B32" s="51">
        <f>'Weekly Profit'!B25</f>
        <v/>
      </c>
      <c r="C32" s="51">
        <f>'Weekly Profit'!C25</f>
        <v/>
      </c>
      <c r="D32" s="51">
        <f>'Weekly Profit'!D25</f>
        <v/>
      </c>
      <c r="E32" s="7">
        <f>RevenueWk*MAX(0,MIN(1,B32-PayDays/7))</f>
        <v/>
      </c>
      <c r="F32" s="48">
        <f>'Weekly Profit'!H25</f>
        <v/>
      </c>
      <c r="G32" s="48">
        <f>'Weekly Profit'!I25</f>
        <v/>
      </c>
      <c r="H32" s="7">
        <f>E32+F32+G32</f>
        <v/>
      </c>
      <c r="I32" s="7">
        <f>I31+H32</f>
        <v/>
      </c>
      <c r="J32" s="47">
        <f>IF(AND(D32=1,I31&lt;0,I32&gt;=0,H32&gt;0),(B31+(-I31/H32))/4,"")</f>
        <v/>
      </c>
      <c r="K32" s="7">
        <f>IF(D32=1,I32,0)</f>
        <v/>
      </c>
    </row>
    <row r="33">
      <c r="A33" s="1" t="n"/>
      <c r="B33" s="51">
        <f>'Weekly Profit'!B26</f>
        <v/>
      </c>
      <c r="C33" s="51">
        <f>'Weekly Profit'!C26</f>
        <v/>
      </c>
      <c r="D33" s="51">
        <f>'Weekly Profit'!D26</f>
        <v/>
      </c>
      <c r="E33" s="7">
        <f>RevenueWk*MAX(0,MIN(1,B33-PayDays/7))</f>
        <v/>
      </c>
      <c r="F33" s="48">
        <f>'Weekly Profit'!H26</f>
        <v/>
      </c>
      <c r="G33" s="48">
        <f>'Weekly Profit'!I26</f>
        <v/>
      </c>
      <c r="H33" s="7">
        <f>E33+F33+G33</f>
        <v/>
      </c>
      <c r="I33" s="7">
        <f>I32+H33</f>
        <v/>
      </c>
      <c r="J33" s="47">
        <f>IF(AND(D33=1,I32&lt;0,I33&gt;=0,H33&gt;0),(B32+(-I32/H33))/4,"")</f>
        <v/>
      </c>
      <c r="K33" s="7">
        <f>IF(D33=1,I33,0)</f>
        <v/>
      </c>
    </row>
    <row r="34">
      <c r="A34" s="1" t="n"/>
      <c r="B34" s="51">
        <f>'Weekly Profit'!B27</f>
        <v/>
      </c>
      <c r="C34" s="51">
        <f>'Weekly Profit'!C27</f>
        <v/>
      </c>
      <c r="D34" s="51">
        <f>'Weekly Profit'!D27</f>
        <v/>
      </c>
      <c r="E34" s="7">
        <f>RevenueWk*MAX(0,MIN(1,B34-PayDays/7))</f>
        <v/>
      </c>
      <c r="F34" s="48">
        <f>'Weekly Profit'!H27</f>
        <v/>
      </c>
      <c r="G34" s="48">
        <f>'Weekly Profit'!I27</f>
        <v/>
      </c>
      <c r="H34" s="7">
        <f>E34+F34+G34</f>
        <v/>
      </c>
      <c r="I34" s="7">
        <f>I33+H34</f>
        <v/>
      </c>
      <c r="J34" s="47">
        <f>IF(AND(D34=1,I33&lt;0,I34&gt;=0,H34&gt;0),(B33+(-I33/H34))/4,"")</f>
        <v/>
      </c>
      <c r="K34" s="7">
        <f>IF(D34=1,I34,0)</f>
        <v/>
      </c>
    </row>
    <row r="35">
      <c r="A35" s="1" t="n"/>
      <c r="B35" s="51">
        <f>'Weekly Profit'!B28</f>
        <v/>
      </c>
      <c r="C35" s="51">
        <f>'Weekly Profit'!C28</f>
        <v/>
      </c>
      <c r="D35" s="51">
        <f>'Weekly Profit'!D28</f>
        <v/>
      </c>
      <c r="E35" s="7">
        <f>RevenueWk*MAX(0,MIN(1,B35-PayDays/7))</f>
        <v/>
      </c>
      <c r="F35" s="48">
        <f>'Weekly Profit'!H28</f>
        <v/>
      </c>
      <c r="G35" s="48">
        <f>'Weekly Profit'!I28</f>
        <v/>
      </c>
      <c r="H35" s="7">
        <f>E35+F35+G35</f>
        <v/>
      </c>
      <c r="I35" s="7">
        <f>I34+H35</f>
        <v/>
      </c>
      <c r="J35" s="47">
        <f>IF(AND(D35=1,I34&lt;0,I35&gt;=0,H35&gt;0),(B34+(-I34/H35))/4,"")</f>
        <v/>
      </c>
      <c r="K35" s="7">
        <f>IF(D35=1,I35,0)</f>
        <v/>
      </c>
    </row>
    <row r="36">
      <c r="A36" s="1" t="n"/>
      <c r="B36" s="51">
        <f>'Weekly Profit'!B29</f>
        <v/>
      </c>
      <c r="C36" s="51">
        <f>'Weekly Profit'!C29</f>
        <v/>
      </c>
      <c r="D36" s="51">
        <f>'Weekly Profit'!D29</f>
        <v/>
      </c>
      <c r="E36" s="7">
        <f>RevenueWk*MAX(0,MIN(1,B36-PayDays/7))</f>
        <v/>
      </c>
      <c r="F36" s="48">
        <f>'Weekly Profit'!H29</f>
        <v/>
      </c>
      <c r="G36" s="48">
        <f>'Weekly Profit'!I29</f>
        <v/>
      </c>
      <c r="H36" s="7">
        <f>E36+F36+G36</f>
        <v/>
      </c>
      <c r="I36" s="7">
        <f>I35+H36</f>
        <v/>
      </c>
      <c r="J36" s="47">
        <f>IF(AND(D36=1,I35&lt;0,I36&gt;=0,H36&gt;0),(B35+(-I35/H36))/4,"")</f>
        <v/>
      </c>
      <c r="K36" s="7">
        <f>IF(D36=1,I36,0)</f>
        <v/>
      </c>
    </row>
    <row r="37">
      <c r="A37" s="1" t="n"/>
      <c r="B37" s="51">
        <f>'Weekly Profit'!B30</f>
        <v/>
      </c>
      <c r="C37" s="51">
        <f>'Weekly Profit'!C30</f>
        <v/>
      </c>
      <c r="D37" s="51">
        <f>'Weekly Profit'!D30</f>
        <v/>
      </c>
      <c r="E37" s="7">
        <f>RevenueWk*MAX(0,MIN(1,B37-PayDays/7))</f>
        <v/>
      </c>
      <c r="F37" s="48">
        <f>'Weekly Profit'!H30</f>
        <v/>
      </c>
      <c r="G37" s="48">
        <f>'Weekly Profit'!I30</f>
        <v/>
      </c>
      <c r="H37" s="7">
        <f>E37+F37+G37</f>
        <v/>
      </c>
      <c r="I37" s="7">
        <f>I36+H37</f>
        <v/>
      </c>
      <c r="J37" s="47">
        <f>IF(AND(D37=1,I36&lt;0,I37&gt;=0,H37&gt;0),(B36+(-I36/H37))/4,"")</f>
        <v/>
      </c>
      <c r="K37" s="7">
        <f>IF(D37=1,I37,0)</f>
        <v/>
      </c>
    </row>
    <row r="38">
      <c r="A38" s="1" t="n"/>
      <c r="B38" s="51">
        <f>'Weekly Profit'!B31</f>
        <v/>
      </c>
      <c r="C38" s="51">
        <f>'Weekly Profit'!C31</f>
        <v/>
      </c>
      <c r="D38" s="51">
        <f>'Weekly Profit'!D31</f>
        <v/>
      </c>
      <c r="E38" s="7">
        <f>RevenueWk*MAX(0,MIN(1,B38-PayDays/7))</f>
        <v/>
      </c>
      <c r="F38" s="48">
        <f>'Weekly Profit'!H31</f>
        <v/>
      </c>
      <c r="G38" s="48">
        <f>'Weekly Profit'!I31</f>
        <v/>
      </c>
      <c r="H38" s="7">
        <f>E38+F38+G38</f>
        <v/>
      </c>
      <c r="I38" s="7">
        <f>I37+H38</f>
        <v/>
      </c>
      <c r="J38" s="47">
        <f>IF(AND(D38=1,I37&lt;0,I38&gt;=0,H38&gt;0),(B37+(-I37/H38))/4,"")</f>
        <v/>
      </c>
      <c r="K38" s="7">
        <f>IF(D38=1,I38,0)</f>
        <v/>
      </c>
    </row>
    <row r="39">
      <c r="A39" s="1" t="n"/>
      <c r="B39" s="51">
        <f>'Weekly Profit'!B32</f>
        <v/>
      </c>
      <c r="C39" s="51">
        <f>'Weekly Profit'!C32</f>
        <v/>
      </c>
      <c r="D39" s="51">
        <f>'Weekly Profit'!D32</f>
        <v/>
      </c>
      <c r="E39" s="7">
        <f>RevenueWk*MAX(0,MIN(1,B39-PayDays/7))</f>
        <v/>
      </c>
      <c r="F39" s="48">
        <f>'Weekly Profit'!H32</f>
        <v/>
      </c>
      <c r="G39" s="48">
        <f>'Weekly Profit'!I32</f>
        <v/>
      </c>
      <c r="H39" s="7">
        <f>E39+F39+G39</f>
        <v/>
      </c>
      <c r="I39" s="7">
        <f>I38+H39</f>
        <v/>
      </c>
      <c r="J39" s="47">
        <f>IF(AND(D39=1,I38&lt;0,I39&gt;=0,H39&gt;0),(B38+(-I38/H39))/4,"")</f>
        <v/>
      </c>
      <c r="K39" s="7">
        <f>IF(D39=1,I39,0)</f>
        <v/>
      </c>
    </row>
    <row r="40">
      <c r="A40" s="1" t="n"/>
      <c r="B40" s="51">
        <f>'Weekly Profit'!B33</f>
        <v/>
      </c>
      <c r="C40" s="51">
        <f>'Weekly Profit'!C33</f>
        <v/>
      </c>
      <c r="D40" s="51">
        <f>'Weekly Profit'!D33</f>
        <v/>
      </c>
      <c r="E40" s="7">
        <f>RevenueWk*MAX(0,MIN(1,B40-PayDays/7))</f>
        <v/>
      </c>
      <c r="F40" s="48">
        <f>'Weekly Profit'!H33</f>
        <v/>
      </c>
      <c r="G40" s="48">
        <f>'Weekly Profit'!I33</f>
        <v/>
      </c>
      <c r="H40" s="7">
        <f>E40+F40+G40</f>
        <v/>
      </c>
      <c r="I40" s="7">
        <f>I39+H40</f>
        <v/>
      </c>
      <c r="J40" s="47">
        <f>IF(AND(D40=1,I39&lt;0,I40&gt;=0,H40&gt;0),(B39+(-I39/H40))/4,"")</f>
        <v/>
      </c>
      <c r="K40" s="7">
        <f>IF(D40=1,I40,0)</f>
        <v/>
      </c>
    </row>
    <row r="41">
      <c r="A41" s="1" t="n"/>
      <c r="B41" s="51">
        <f>'Weekly Profit'!B34</f>
        <v/>
      </c>
      <c r="C41" s="51">
        <f>'Weekly Profit'!C34</f>
        <v/>
      </c>
      <c r="D41" s="51">
        <f>'Weekly Profit'!D34</f>
        <v/>
      </c>
      <c r="E41" s="7">
        <f>RevenueWk*MAX(0,MIN(1,B41-PayDays/7))</f>
        <v/>
      </c>
      <c r="F41" s="48">
        <f>'Weekly Profit'!H34</f>
        <v/>
      </c>
      <c r="G41" s="48">
        <f>'Weekly Profit'!I34</f>
        <v/>
      </c>
      <c r="H41" s="7">
        <f>E41+F41+G41</f>
        <v/>
      </c>
      <c r="I41" s="7">
        <f>I40+H41</f>
        <v/>
      </c>
      <c r="J41" s="47">
        <f>IF(AND(D41=1,I40&lt;0,I41&gt;=0,H41&gt;0),(B40+(-I40/H41))/4,"")</f>
        <v/>
      </c>
      <c r="K41" s="7">
        <f>IF(D41=1,I41,0)</f>
        <v/>
      </c>
    </row>
    <row r="42">
      <c r="A42" s="1" t="n"/>
      <c r="B42" s="51">
        <f>'Weekly Profit'!B35</f>
        <v/>
      </c>
      <c r="C42" s="51">
        <f>'Weekly Profit'!C35</f>
        <v/>
      </c>
      <c r="D42" s="51">
        <f>'Weekly Profit'!D35</f>
        <v/>
      </c>
      <c r="E42" s="7">
        <f>RevenueWk*MAX(0,MIN(1,B42-PayDays/7))</f>
        <v/>
      </c>
      <c r="F42" s="48">
        <f>'Weekly Profit'!H35</f>
        <v/>
      </c>
      <c r="G42" s="48">
        <f>'Weekly Profit'!I35</f>
        <v/>
      </c>
      <c r="H42" s="7">
        <f>E42+F42+G42</f>
        <v/>
      </c>
      <c r="I42" s="7">
        <f>I41+H42</f>
        <v/>
      </c>
      <c r="J42" s="47">
        <f>IF(AND(D42=1,I41&lt;0,I42&gt;=0,H42&gt;0),(B41+(-I41/H42))/4,"")</f>
        <v/>
      </c>
      <c r="K42" s="7">
        <f>IF(D42=1,I42,0)</f>
        <v/>
      </c>
    </row>
    <row r="43">
      <c r="A43" s="1" t="n"/>
      <c r="B43" s="51">
        <f>'Weekly Profit'!B36</f>
        <v/>
      </c>
      <c r="C43" s="51">
        <f>'Weekly Profit'!C36</f>
        <v/>
      </c>
      <c r="D43" s="51">
        <f>'Weekly Profit'!D36</f>
        <v/>
      </c>
      <c r="E43" s="7">
        <f>RevenueWk*MAX(0,MIN(1,B43-PayDays/7))</f>
        <v/>
      </c>
      <c r="F43" s="48">
        <f>'Weekly Profit'!H36</f>
        <v/>
      </c>
      <c r="G43" s="48">
        <f>'Weekly Profit'!I36</f>
        <v/>
      </c>
      <c r="H43" s="7">
        <f>E43+F43+G43</f>
        <v/>
      </c>
      <c r="I43" s="7">
        <f>I42+H43</f>
        <v/>
      </c>
      <c r="J43" s="47">
        <f>IF(AND(D43=1,I42&lt;0,I43&gt;=0,H43&gt;0),(B42+(-I42/H43))/4,"")</f>
        <v/>
      </c>
      <c r="K43" s="7">
        <f>IF(D43=1,I43,0)</f>
        <v/>
      </c>
    </row>
    <row r="44">
      <c r="A44" s="1" t="n"/>
      <c r="B44" s="51">
        <f>'Weekly Profit'!B37</f>
        <v/>
      </c>
      <c r="C44" s="51">
        <f>'Weekly Profit'!C37</f>
        <v/>
      </c>
      <c r="D44" s="51">
        <f>'Weekly Profit'!D37</f>
        <v/>
      </c>
      <c r="E44" s="7">
        <f>RevenueWk*MAX(0,MIN(1,B44-PayDays/7))</f>
        <v/>
      </c>
      <c r="F44" s="48">
        <f>'Weekly Profit'!H37</f>
        <v/>
      </c>
      <c r="G44" s="48">
        <f>'Weekly Profit'!I37</f>
        <v/>
      </c>
      <c r="H44" s="7">
        <f>E44+F44+G44</f>
        <v/>
      </c>
      <c r="I44" s="7">
        <f>I43+H44</f>
        <v/>
      </c>
      <c r="J44" s="47">
        <f>IF(AND(D44=1,I43&lt;0,I44&gt;=0,H44&gt;0),(B43+(-I43/H44))/4,"")</f>
        <v/>
      </c>
      <c r="K44" s="7">
        <f>IF(D44=1,I44,0)</f>
        <v/>
      </c>
    </row>
    <row r="45">
      <c r="A45" s="1" t="n"/>
      <c r="B45" s="51">
        <f>'Weekly Profit'!B38</f>
        <v/>
      </c>
      <c r="C45" s="51">
        <f>'Weekly Profit'!C38</f>
        <v/>
      </c>
      <c r="D45" s="51">
        <f>'Weekly Profit'!D38</f>
        <v/>
      </c>
      <c r="E45" s="7">
        <f>RevenueWk*MAX(0,MIN(1,B45-PayDays/7))</f>
        <v/>
      </c>
      <c r="F45" s="48">
        <f>'Weekly Profit'!H38</f>
        <v/>
      </c>
      <c r="G45" s="48">
        <f>'Weekly Profit'!I38</f>
        <v/>
      </c>
      <c r="H45" s="7">
        <f>E45+F45+G45</f>
        <v/>
      </c>
      <c r="I45" s="7">
        <f>I44+H45</f>
        <v/>
      </c>
      <c r="J45" s="47">
        <f>IF(AND(D45=1,I44&lt;0,I45&gt;=0,H45&gt;0),(B44+(-I44/H45))/4,"")</f>
        <v/>
      </c>
      <c r="K45" s="7">
        <f>IF(D45=1,I45,0)</f>
        <v/>
      </c>
    </row>
    <row r="46">
      <c r="A46" s="1" t="n"/>
      <c r="B46" s="51">
        <f>'Weekly Profit'!B39</f>
        <v/>
      </c>
      <c r="C46" s="51">
        <f>'Weekly Profit'!C39</f>
        <v/>
      </c>
      <c r="D46" s="51">
        <f>'Weekly Profit'!D39</f>
        <v/>
      </c>
      <c r="E46" s="7">
        <f>RevenueWk*MAX(0,MIN(1,B46-PayDays/7))</f>
        <v/>
      </c>
      <c r="F46" s="48">
        <f>'Weekly Profit'!H39</f>
        <v/>
      </c>
      <c r="G46" s="48">
        <f>'Weekly Profit'!I39</f>
        <v/>
      </c>
      <c r="H46" s="7">
        <f>E46+F46+G46</f>
        <v/>
      </c>
      <c r="I46" s="7">
        <f>I45+H46</f>
        <v/>
      </c>
      <c r="J46" s="47">
        <f>IF(AND(D46=1,I45&lt;0,I46&gt;=0,H46&gt;0),(B45+(-I45/H46))/4,"")</f>
        <v/>
      </c>
      <c r="K46" s="7">
        <f>IF(D46=1,I46,0)</f>
        <v/>
      </c>
    </row>
    <row r="47">
      <c r="A47" s="1" t="n"/>
      <c r="B47" s="51">
        <f>'Weekly Profit'!B40</f>
        <v/>
      </c>
      <c r="C47" s="51">
        <f>'Weekly Profit'!C40</f>
        <v/>
      </c>
      <c r="D47" s="51">
        <f>'Weekly Profit'!D40</f>
        <v/>
      </c>
      <c r="E47" s="7">
        <f>RevenueWk*MAX(0,MIN(1,B47-PayDays/7))</f>
        <v/>
      </c>
      <c r="F47" s="48">
        <f>'Weekly Profit'!H40</f>
        <v/>
      </c>
      <c r="G47" s="48">
        <f>'Weekly Profit'!I40</f>
        <v/>
      </c>
      <c r="H47" s="7">
        <f>E47+F47+G47</f>
        <v/>
      </c>
      <c r="I47" s="7">
        <f>I46+H47</f>
        <v/>
      </c>
      <c r="J47" s="47">
        <f>IF(AND(D47=1,I46&lt;0,I47&gt;=0,H47&gt;0),(B46+(-I46/H47))/4,"")</f>
        <v/>
      </c>
      <c r="K47" s="7">
        <f>IF(D47=1,I47,0)</f>
        <v/>
      </c>
    </row>
    <row r="48">
      <c r="A48" s="1" t="n"/>
      <c r="B48" s="51">
        <f>'Weekly Profit'!B41</f>
        <v/>
      </c>
      <c r="C48" s="51">
        <f>'Weekly Profit'!C41</f>
        <v/>
      </c>
      <c r="D48" s="51">
        <f>'Weekly Profit'!D41</f>
        <v/>
      </c>
      <c r="E48" s="7">
        <f>RevenueWk*MAX(0,MIN(1,B48-PayDays/7))</f>
        <v/>
      </c>
      <c r="F48" s="48">
        <f>'Weekly Profit'!H41</f>
        <v/>
      </c>
      <c r="G48" s="48">
        <f>'Weekly Profit'!I41</f>
        <v/>
      </c>
      <c r="H48" s="7">
        <f>E48+F48+G48</f>
        <v/>
      </c>
      <c r="I48" s="7">
        <f>I47+H48</f>
        <v/>
      </c>
      <c r="J48" s="47">
        <f>IF(AND(D48=1,I47&lt;0,I48&gt;=0,H48&gt;0),(B47+(-I47/H48))/4,"")</f>
        <v/>
      </c>
      <c r="K48" s="7">
        <f>IF(D48=1,I48,0)</f>
        <v/>
      </c>
    </row>
    <row r="49">
      <c r="A49" s="1" t="n"/>
      <c r="B49" s="51">
        <f>'Weekly Profit'!B42</f>
        <v/>
      </c>
      <c r="C49" s="51">
        <f>'Weekly Profit'!C42</f>
        <v/>
      </c>
      <c r="D49" s="51">
        <f>'Weekly Profit'!D42</f>
        <v/>
      </c>
      <c r="E49" s="7">
        <f>RevenueWk*MAX(0,MIN(1,B49-PayDays/7))</f>
        <v/>
      </c>
      <c r="F49" s="48">
        <f>'Weekly Profit'!H42</f>
        <v/>
      </c>
      <c r="G49" s="48">
        <f>'Weekly Profit'!I42</f>
        <v/>
      </c>
      <c r="H49" s="7">
        <f>E49+F49+G49</f>
        <v/>
      </c>
      <c r="I49" s="7">
        <f>I48+H49</f>
        <v/>
      </c>
      <c r="J49" s="47">
        <f>IF(AND(D49=1,I48&lt;0,I49&gt;=0,H49&gt;0),(B48+(-I48/H49))/4,"")</f>
        <v/>
      </c>
      <c r="K49" s="7">
        <f>IF(D49=1,I49,0)</f>
        <v/>
      </c>
    </row>
    <row r="50">
      <c r="A50" s="1" t="n"/>
      <c r="B50" s="51">
        <f>'Weekly Profit'!B43</f>
        <v/>
      </c>
      <c r="C50" s="51">
        <f>'Weekly Profit'!C43</f>
        <v/>
      </c>
      <c r="D50" s="51">
        <f>'Weekly Profit'!D43</f>
        <v/>
      </c>
      <c r="E50" s="7">
        <f>RevenueWk*MAX(0,MIN(1,B50-PayDays/7))</f>
        <v/>
      </c>
      <c r="F50" s="48">
        <f>'Weekly Profit'!H43</f>
        <v/>
      </c>
      <c r="G50" s="48">
        <f>'Weekly Profit'!I43</f>
        <v/>
      </c>
      <c r="H50" s="7">
        <f>E50+F50+G50</f>
        <v/>
      </c>
      <c r="I50" s="7">
        <f>I49+H50</f>
        <v/>
      </c>
      <c r="J50" s="47">
        <f>IF(AND(D50=1,I49&lt;0,I50&gt;=0,H50&gt;0),(B49+(-I49/H50))/4,"")</f>
        <v/>
      </c>
      <c r="K50" s="7">
        <f>IF(D50=1,I50,0)</f>
        <v/>
      </c>
    </row>
    <row r="51">
      <c r="A51" s="1" t="n"/>
      <c r="B51" s="51">
        <f>'Weekly Profit'!B44</f>
        <v/>
      </c>
      <c r="C51" s="51">
        <f>'Weekly Profit'!C44</f>
        <v/>
      </c>
      <c r="D51" s="51">
        <f>'Weekly Profit'!D44</f>
        <v/>
      </c>
      <c r="E51" s="7">
        <f>RevenueWk*MAX(0,MIN(1,B51-PayDays/7))</f>
        <v/>
      </c>
      <c r="F51" s="48">
        <f>'Weekly Profit'!H44</f>
        <v/>
      </c>
      <c r="G51" s="48">
        <f>'Weekly Profit'!I44</f>
        <v/>
      </c>
      <c r="H51" s="7">
        <f>E51+F51+G51</f>
        <v/>
      </c>
      <c r="I51" s="7">
        <f>I50+H51</f>
        <v/>
      </c>
      <c r="J51" s="47">
        <f>IF(AND(D51=1,I50&lt;0,I51&gt;=0,H51&gt;0),(B50+(-I50/H51))/4,"")</f>
        <v/>
      </c>
      <c r="K51" s="7">
        <f>IF(D51=1,I51,0)</f>
        <v/>
      </c>
    </row>
    <row r="52">
      <c r="A52" s="1" t="n"/>
      <c r="B52" s="51">
        <f>'Weekly Profit'!B45</f>
        <v/>
      </c>
      <c r="C52" s="51">
        <f>'Weekly Profit'!C45</f>
        <v/>
      </c>
      <c r="D52" s="51">
        <f>'Weekly Profit'!D45</f>
        <v/>
      </c>
      <c r="E52" s="7">
        <f>RevenueWk*MAX(0,MIN(1,B52-PayDays/7))</f>
        <v/>
      </c>
      <c r="F52" s="48">
        <f>'Weekly Profit'!H45</f>
        <v/>
      </c>
      <c r="G52" s="48">
        <f>'Weekly Profit'!I45</f>
        <v/>
      </c>
      <c r="H52" s="7">
        <f>E52+F52+G52</f>
        <v/>
      </c>
      <c r="I52" s="7">
        <f>I51+H52</f>
        <v/>
      </c>
      <c r="J52" s="47">
        <f>IF(AND(D52=1,I51&lt;0,I52&gt;=0,H52&gt;0),(B51+(-I51/H52))/4,"")</f>
        <v/>
      </c>
      <c r="K52" s="7">
        <f>IF(D52=1,I52,0)</f>
        <v/>
      </c>
    </row>
    <row r="53">
      <c r="A53" s="1" t="n"/>
      <c r="B53" s="51">
        <f>'Weekly Profit'!B46</f>
        <v/>
      </c>
      <c r="C53" s="51">
        <f>'Weekly Profit'!C46</f>
        <v/>
      </c>
      <c r="D53" s="51">
        <f>'Weekly Profit'!D46</f>
        <v/>
      </c>
      <c r="E53" s="7">
        <f>RevenueWk*MAX(0,MIN(1,B53-PayDays/7))</f>
        <v/>
      </c>
      <c r="F53" s="48">
        <f>'Weekly Profit'!H46</f>
        <v/>
      </c>
      <c r="G53" s="48">
        <f>'Weekly Profit'!I46</f>
        <v/>
      </c>
      <c r="H53" s="7">
        <f>E53+F53+G53</f>
        <v/>
      </c>
      <c r="I53" s="7">
        <f>I52+H53</f>
        <v/>
      </c>
      <c r="J53" s="47">
        <f>IF(AND(D53=1,I52&lt;0,I53&gt;=0,H53&gt;0),(B52+(-I52/H53))/4,"")</f>
        <v/>
      </c>
      <c r="K53" s="7">
        <f>IF(D53=1,I53,0)</f>
        <v/>
      </c>
    </row>
    <row r="54">
      <c r="A54" s="1" t="n"/>
      <c r="B54" s="51">
        <f>'Weekly Profit'!B47</f>
        <v/>
      </c>
      <c r="C54" s="51">
        <f>'Weekly Profit'!C47</f>
        <v/>
      </c>
      <c r="D54" s="51">
        <f>'Weekly Profit'!D47</f>
        <v/>
      </c>
      <c r="E54" s="7">
        <f>RevenueWk*MAX(0,MIN(1,B54-PayDays/7))</f>
        <v/>
      </c>
      <c r="F54" s="48">
        <f>'Weekly Profit'!H47</f>
        <v/>
      </c>
      <c r="G54" s="48">
        <f>'Weekly Profit'!I47</f>
        <v/>
      </c>
      <c r="H54" s="7">
        <f>E54+F54+G54</f>
        <v/>
      </c>
      <c r="I54" s="7">
        <f>I53+H54</f>
        <v/>
      </c>
      <c r="J54" s="47">
        <f>IF(AND(D54=1,I53&lt;0,I54&gt;=0,H54&gt;0),(B53+(-I53/H54))/4,"")</f>
        <v/>
      </c>
      <c r="K54" s="7">
        <f>IF(D54=1,I54,0)</f>
        <v/>
      </c>
    </row>
    <row r="55">
      <c r="A55" s="1" t="n"/>
      <c r="B55" s="51">
        <f>'Weekly Profit'!B48</f>
        <v/>
      </c>
      <c r="C55" s="51">
        <f>'Weekly Profit'!C48</f>
        <v/>
      </c>
      <c r="D55" s="51">
        <f>'Weekly Profit'!D48</f>
        <v/>
      </c>
      <c r="E55" s="7">
        <f>RevenueWk*MAX(0,MIN(1,B55-PayDays/7))</f>
        <v/>
      </c>
      <c r="F55" s="48">
        <f>'Weekly Profit'!H48</f>
        <v/>
      </c>
      <c r="G55" s="48">
        <f>'Weekly Profit'!I48</f>
        <v/>
      </c>
      <c r="H55" s="7">
        <f>E55+F55+G55</f>
        <v/>
      </c>
      <c r="I55" s="7">
        <f>I54+H55</f>
        <v/>
      </c>
      <c r="J55" s="47">
        <f>IF(AND(D55=1,I54&lt;0,I55&gt;=0,H55&gt;0),(B54+(-I54/H55))/4,"")</f>
        <v/>
      </c>
      <c r="K55" s="7">
        <f>IF(D55=1,I55,0)</f>
        <v/>
      </c>
    </row>
    <row r="56">
      <c r="A56" s="1" t="n"/>
      <c r="B56" s="51">
        <f>'Weekly Profit'!B49</f>
        <v/>
      </c>
      <c r="C56" s="51">
        <f>'Weekly Profit'!C49</f>
        <v/>
      </c>
      <c r="D56" s="51">
        <f>'Weekly Profit'!D49</f>
        <v/>
      </c>
      <c r="E56" s="7">
        <f>RevenueWk*MAX(0,MIN(1,B56-PayDays/7))</f>
        <v/>
      </c>
      <c r="F56" s="48">
        <f>'Weekly Profit'!H49</f>
        <v/>
      </c>
      <c r="G56" s="48">
        <f>'Weekly Profit'!I49</f>
        <v/>
      </c>
      <c r="H56" s="7">
        <f>E56+F56+G56</f>
        <v/>
      </c>
      <c r="I56" s="7">
        <f>I55+H56</f>
        <v/>
      </c>
      <c r="J56" s="47">
        <f>IF(AND(D56=1,I55&lt;0,I56&gt;=0,H56&gt;0),(B55+(-I55/H56))/4,"")</f>
        <v/>
      </c>
      <c r="K56" s="7">
        <f>IF(D56=1,I56,0)</f>
        <v/>
      </c>
    </row>
    <row r="57">
      <c r="A57" s="1" t="n"/>
      <c r="B57" s="51">
        <f>'Weekly Profit'!B50</f>
        <v/>
      </c>
      <c r="C57" s="51">
        <f>'Weekly Profit'!C50</f>
        <v/>
      </c>
      <c r="D57" s="51">
        <f>'Weekly Profit'!D50</f>
        <v/>
      </c>
      <c r="E57" s="7">
        <f>RevenueWk*MAX(0,MIN(1,B57-PayDays/7))</f>
        <v/>
      </c>
      <c r="F57" s="48">
        <f>'Weekly Profit'!H50</f>
        <v/>
      </c>
      <c r="G57" s="48">
        <f>'Weekly Profit'!I50</f>
        <v/>
      </c>
      <c r="H57" s="7">
        <f>E57+F57+G57</f>
        <v/>
      </c>
      <c r="I57" s="7">
        <f>I56+H57</f>
        <v/>
      </c>
      <c r="J57" s="47">
        <f>IF(AND(D57=1,I56&lt;0,I57&gt;=0,H57&gt;0),(B56+(-I56/H57))/4,"")</f>
        <v/>
      </c>
      <c r="K57" s="7">
        <f>IF(D57=1,I57,0)</f>
        <v/>
      </c>
    </row>
    <row r="58">
      <c r="A58" s="1" t="n"/>
      <c r="B58" s="51">
        <f>'Weekly Profit'!B51</f>
        <v/>
      </c>
      <c r="C58" s="51">
        <f>'Weekly Profit'!C51</f>
        <v/>
      </c>
      <c r="D58" s="51">
        <f>'Weekly Profit'!D51</f>
        <v/>
      </c>
      <c r="E58" s="7">
        <f>RevenueWk*MAX(0,MIN(1,B58-PayDays/7))</f>
        <v/>
      </c>
      <c r="F58" s="48">
        <f>'Weekly Profit'!H51</f>
        <v/>
      </c>
      <c r="G58" s="48">
        <f>'Weekly Profit'!I51</f>
        <v/>
      </c>
      <c r="H58" s="7">
        <f>E58+F58+G58</f>
        <v/>
      </c>
      <c r="I58" s="7">
        <f>I57+H58</f>
        <v/>
      </c>
      <c r="J58" s="47">
        <f>IF(AND(D58=1,I57&lt;0,I58&gt;=0,H58&gt;0),(B57+(-I57/H58))/4,"")</f>
        <v/>
      </c>
      <c r="K58" s="7">
        <f>IF(D58=1,I58,0)</f>
        <v/>
      </c>
    </row>
    <row r="59">
      <c r="A59" s="1" t="n"/>
      <c r="B59" s="51">
        <f>'Weekly Profit'!B52</f>
        <v/>
      </c>
      <c r="C59" s="51">
        <f>'Weekly Profit'!C52</f>
        <v/>
      </c>
      <c r="D59" s="51">
        <f>'Weekly Profit'!D52</f>
        <v/>
      </c>
      <c r="E59" s="7">
        <f>RevenueWk*MAX(0,MIN(1,B59-PayDays/7))</f>
        <v/>
      </c>
      <c r="F59" s="48">
        <f>'Weekly Profit'!H52</f>
        <v/>
      </c>
      <c r="G59" s="48">
        <f>'Weekly Profit'!I52</f>
        <v/>
      </c>
      <c r="H59" s="7">
        <f>E59+F59+G59</f>
        <v/>
      </c>
      <c r="I59" s="7">
        <f>I58+H59</f>
        <v/>
      </c>
      <c r="J59" s="47">
        <f>IF(AND(D59=1,I58&lt;0,I59&gt;=0,H59&gt;0),(B58+(-I58/H59))/4,"")</f>
        <v/>
      </c>
      <c r="K59" s="7">
        <f>IF(D59=1,I59,0)</f>
        <v/>
      </c>
    </row>
    <row r="60">
      <c r="A60" s="1" t="n"/>
      <c r="B60" s="51">
        <f>'Weekly Profit'!B53</f>
        <v/>
      </c>
      <c r="C60" s="51">
        <f>'Weekly Profit'!C53</f>
        <v/>
      </c>
      <c r="D60" s="51">
        <f>'Weekly Profit'!D53</f>
        <v/>
      </c>
      <c r="E60" s="7">
        <f>RevenueWk*MAX(0,MIN(1,B60-PayDays/7))</f>
        <v/>
      </c>
      <c r="F60" s="48">
        <f>'Weekly Profit'!H53</f>
        <v/>
      </c>
      <c r="G60" s="48">
        <f>'Weekly Profit'!I53</f>
        <v/>
      </c>
      <c r="H60" s="7">
        <f>E60+F60+G60</f>
        <v/>
      </c>
      <c r="I60" s="7">
        <f>I59+H60</f>
        <v/>
      </c>
      <c r="J60" s="47">
        <f>IF(AND(D60=1,I59&lt;0,I60&gt;=0,H60&gt;0),(B59+(-I59/H60))/4,"")</f>
        <v/>
      </c>
      <c r="K60" s="7">
        <f>IF(D60=1,I60,0)</f>
        <v/>
      </c>
    </row>
    <row r="61">
      <c r="A61" s="1" t="n"/>
      <c r="B61" s="51">
        <f>'Weekly Profit'!B54</f>
        <v/>
      </c>
      <c r="C61" s="51">
        <f>'Weekly Profit'!C54</f>
        <v/>
      </c>
      <c r="D61" s="51">
        <f>'Weekly Profit'!D54</f>
        <v/>
      </c>
      <c r="E61" s="7">
        <f>RevenueWk*MAX(0,MIN(1,B61-PayDays/7))</f>
        <v/>
      </c>
      <c r="F61" s="48">
        <f>'Weekly Profit'!H54</f>
        <v/>
      </c>
      <c r="G61" s="48">
        <f>'Weekly Profit'!I54</f>
        <v/>
      </c>
      <c r="H61" s="7">
        <f>E61+F61+G61</f>
        <v/>
      </c>
      <c r="I61" s="7">
        <f>I60+H61</f>
        <v/>
      </c>
      <c r="J61" s="47">
        <f>IF(AND(D61=1,I60&lt;0,I61&gt;=0,H61&gt;0),(B60+(-I60/H61))/4,"")</f>
        <v/>
      </c>
      <c r="K61" s="7">
        <f>IF(D61=1,I61,0)</f>
        <v/>
      </c>
    </row>
    <row r="62">
      <c r="A62" s="1" t="n"/>
      <c r="B62" s="51">
        <f>'Weekly Profit'!B55</f>
        <v/>
      </c>
      <c r="C62" s="51">
        <f>'Weekly Profit'!C55</f>
        <v/>
      </c>
      <c r="D62" s="51">
        <f>'Weekly Profit'!D55</f>
        <v/>
      </c>
      <c r="E62" s="7">
        <f>RevenueWk*MAX(0,MIN(1,B62-PayDays/7))</f>
        <v/>
      </c>
      <c r="F62" s="48">
        <f>'Weekly Profit'!H55</f>
        <v/>
      </c>
      <c r="G62" s="48">
        <f>'Weekly Profit'!I55</f>
        <v/>
      </c>
      <c r="H62" s="7">
        <f>E62+F62+G62</f>
        <v/>
      </c>
      <c r="I62" s="7">
        <f>I61+H62</f>
        <v/>
      </c>
      <c r="J62" s="47">
        <f>IF(AND(D62=1,I61&lt;0,I62&gt;=0,H62&gt;0),(B61+(-I61/H62))/4,"")</f>
        <v/>
      </c>
      <c r="K62" s="7">
        <f>IF(D62=1,I62,0)</f>
        <v/>
      </c>
    </row>
    <row r="63">
      <c r="A63" s="1" t="n"/>
      <c r="B63" s="51">
        <f>'Weekly Profit'!B56</f>
        <v/>
      </c>
      <c r="C63" s="51">
        <f>'Weekly Profit'!C56</f>
        <v/>
      </c>
      <c r="D63" s="51">
        <f>'Weekly Profit'!D56</f>
        <v/>
      </c>
      <c r="E63" s="7">
        <f>RevenueWk*MAX(0,MIN(1,B63-PayDays/7))</f>
        <v/>
      </c>
      <c r="F63" s="48">
        <f>'Weekly Profit'!H56</f>
        <v/>
      </c>
      <c r="G63" s="48">
        <f>'Weekly Profit'!I56</f>
        <v/>
      </c>
      <c r="H63" s="7">
        <f>E63+F63+G63</f>
        <v/>
      </c>
      <c r="I63" s="7">
        <f>I62+H63</f>
        <v/>
      </c>
      <c r="J63" s="47">
        <f>IF(AND(D63=1,I62&lt;0,I63&gt;=0,H63&gt;0),(B62+(-I62/H63))/4,"")</f>
        <v/>
      </c>
      <c r="K63" s="7">
        <f>IF(D63=1,I63,0)</f>
        <v/>
      </c>
    </row>
    <row r="64">
      <c r="A64" s="1" t="n"/>
      <c r="B64" s="51">
        <f>'Weekly Profit'!B57</f>
        <v/>
      </c>
      <c r="C64" s="51">
        <f>'Weekly Profit'!C57</f>
        <v/>
      </c>
      <c r="D64" s="51">
        <f>'Weekly Profit'!D57</f>
        <v/>
      </c>
      <c r="E64" s="7">
        <f>RevenueWk*MAX(0,MIN(1,B64-PayDays/7))</f>
        <v/>
      </c>
      <c r="F64" s="48">
        <f>'Weekly Profit'!H57</f>
        <v/>
      </c>
      <c r="G64" s="48">
        <f>'Weekly Profit'!I57</f>
        <v/>
      </c>
      <c r="H64" s="7">
        <f>E64+F64+G64</f>
        <v/>
      </c>
      <c r="I64" s="7">
        <f>I63+H64</f>
        <v/>
      </c>
      <c r="J64" s="47">
        <f>IF(AND(D64=1,I63&lt;0,I64&gt;=0,H64&gt;0),(B63+(-I63/H64))/4,"")</f>
        <v/>
      </c>
      <c r="K64" s="7">
        <f>IF(D64=1,I64,0)</f>
        <v/>
      </c>
    </row>
    <row r="65">
      <c r="A65" s="1" t="n"/>
      <c r="B65" s="51">
        <f>'Weekly Profit'!B58</f>
        <v/>
      </c>
      <c r="C65" s="51">
        <f>'Weekly Profit'!C58</f>
        <v/>
      </c>
      <c r="D65" s="51">
        <f>'Weekly Profit'!D58</f>
        <v/>
      </c>
      <c r="E65" s="7">
        <f>RevenueWk*MAX(0,MIN(1,B65-PayDays/7))</f>
        <v/>
      </c>
      <c r="F65" s="48">
        <f>'Weekly Profit'!H58</f>
        <v/>
      </c>
      <c r="G65" s="48">
        <f>'Weekly Profit'!I58</f>
        <v/>
      </c>
      <c r="H65" s="7">
        <f>E65+F65+G65</f>
        <v/>
      </c>
      <c r="I65" s="7">
        <f>I64+H65</f>
        <v/>
      </c>
      <c r="J65" s="47">
        <f>IF(AND(D65=1,I64&lt;0,I65&gt;=0,H65&gt;0),(B64+(-I64/H65))/4,"")</f>
        <v/>
      </c>
      <c r="K65" s="7">
        <f>IF(D65=1,I65,0)</f>
        <v/>
      </c>
    </row>
    <row r="66">
      <c r="A66" s="1" t="n"/>
      <c r="B66" s="51">
        <f>'Weekly Profit'!B59</f>
        <v/>
      </c>
      <c r="C66" s="51">
        <f>'Weekly Profit'!C59</f>
        <v/>
      </c>
      <c r="D66" s="51">
        <f>'Weekly Profit'!D59</f>
        <v/>
      </c>
      <c r="E66" s="7">
        <f>RevenueWk*MAX(0,MIN(1,B66-PayDays/7))</f>
        <v/>
      </c>
      <c r="F66" s="48">
        <f>'Weekly Profit'!H59</f>
        <v/>
      </c>
      <c r="G66" s="48">
        <f>'Weekly Profit'!I59</f>
        <v/>
      </c>
      <c r="H66" s="7">
        <f>E66+F66+G66</f>
        <v/>
      </c>
      <c r="I66" s="7">
        <f>I65+H66</f>
        <v/>
      </c>
      <c r="J66" s="47">
        <f>IF(AND(D66=1,I65&lt;0,I66&gt;=0,H66&gt;0),(B65+(-I65/H66))/4,"")</f>
        <v/>
      </c>
      <c r="K66" s="7">
        <f>IF(D66=1,I66,0)</f>
        <v/>
      </c>
    </row>
    <row r="67">
      <c r="A67" s="1" t="n"/>
      <c r="B67" s="51">
        <f>'Weekly Profit'!B60</f>
        <v/>
      </c>
      <c r="C67" s="51">
        <f>'Weekly Profit'!C60</f>
        <v/>
      </c>
      <c r="D67" s="51">
        <f>'Weekly Profit'!D60</f>
        <v/>
      </c>
      <c r="E67" s="7">
        <f>RevenueWk*MAX(0,MIN(1,B67-PayDays/7))</f>
        <v/>
      </c>
      <c r="F67" s="48">
        <f>'Weekly Profit'!H60</f>
        <v/>
      </c>
      <c r="G67" s="48">
        <f>'Weekly Profit'!I60</f>
        <v/>
      </c>
      <c r="H67" s="7">
        <f>E67+F67+G67</f>
        <v/>
      </c>
      <c r="I67" s="7">
        <f>I66+H67</f>
        <v/>
      </c>
      <c r="J67" s="47">
        <f>IF(AND(D67=1,I66&lt;0,I67&gt;=0,H67&gt;0),(B66+(-I66/H67))/4,"")</f>
        <v/>
      </c>
      <c r="K67" s="7">
        <f>IF(D67=1,I67,0)</f>
        <v/>
      </c>
    </row>
    <row r="68">
      <c r="A68" s="1" t="n"/>
      <c r="B68" s="51">
        <f>'Weekly Profit'!B61</f>
        <v/>
      </c>
      <c r="C68" s="51">
        <f>'Weekly Profit'!C61</f>
        <v/>
      </c>
      <c r="D68" s="51">
        <f>'Weekly Profit'!D61</f>
        <v/>
      </c>
      <c r="E68" s="7">
        <f>RevenueWk*MAX(0,MIN(1,B68-PayDays/7))</f>
        <v/>
      </c>
      <c r="F68" s="48">
        <f>'Weekly Profit'!H61</f>
        <v/>
      </c>
      <c r="G68" s="48">
        <f>'Weekly Profit'!I61</f>
        <v/>
      </c>
      <c r="H68" s="7">
        <f>E68+F68+G68</f>
        <v/>
      </c>
      <c r="I68" s="7">
        <f>I67+H68</f>
        <v/>
      </c>
      <c r="J68" s="47">
        <f>IF(AND(D68=1,I67&lt;0,I68&gt;=0,H68&gt;0),(B67+(-I67/H68))/4,"")</f>
        <v/>
      </c>
      <c r="K68" s="7">
        <f>IF(D68=1,I68,0)</f>
        <v/>
      </c>
    </row>
    <row r="69">
      <c r="A69" s="1" t="n"/>
      <c r="B69" s="51">
        <f>'Weekly Profit'!B62</f>
        <v/>
      </c>
      <c r="C69" s="51">
        <f>'Weekly Profit'!C62</f>
        <v/>
      </c>
      <c r="D69" s="51">
        <f>'Weekly Profit'!D62</f>
        <v/>
      </c>
      <c r="E69" s="7">
        <f>RevenueWk*MAX(0,MIN(1,B69-PayDays/7))</f>
        <v/>
      </c>
      <c r="F69" s="48">
        <f>'Weekly Profit'!H62</f>
        <v/>
      </c>
      <c r="G69" s="48">
        <f>'Weekly Profit'!I62</f>
        <v/>
      </c>
      <c r="H69" s="7">
        <f>E69+F69+G69</f>
        <v/>
      </c>
      <c r="I69" s="7">
        <f>I68+H69</f>
        <v/>
      </c>
      <c r="J69" s="47">
        <f>IF(AND(D69=1,I68&lt;0,I69&gt;=0,H69&gt;0),(B68+(-I68/H69))/4,"")</f>
        <v/>
      </c>
      <c r="K69" s="7">
        <f>IF(D69=1,I69,0)</f>
        <v/>
      </c>
    </row>
    <row r="70">
      <c r="A70" s="1" t="n"/>
      <c r="B70" s="51">
        <f>'Weekly Profit'!B63</f>
        <v/>
      </c>
      <c r="C70" s="51">
        <f>'Weekly Profit'!C63</f>
        <v/>
      </c>
      <c r="D70" s="51">
        <f>'Weekly Profit'!D63</f>
        <v/>
      </c>
      <c r="E70" s="7">
        <f>RevenueWk*MAX(0,MIN(1,B70-PayDays/7))</f>
        <v/>
      </c>
      <c r="F70" s="48">
        <f>'Weekly Profit'!H63</f>
        <v/>
      </c>
      <c r="G70" s="48">
        <f>'Weekly Profit'!I63</f>
        <v/>
      </c>
      <c r="H70" s="7">
        <f>E70+F70+G70</f>
        <v/>
      </c>
      <c r="I70" s="7">
        <f>I69+H70</f>
        <v/>
      </c>
      <c r="J70" s="47">
        <f>IF(AND(D70=1,I69&lt;0,I70&gt;=0,H70&gt;0),(B69+(-I69/H70))/4,"")</f>
        <v/>
      </c>
      <c r="K70" s="7">
        <f>IF(D70=1,I70,0)</f>
        <v/>
      </c>
    </row>
    <row r="71">
      <c r="A71" s="1" t="n"/>
      <c r="B71" s="51">
        <f>'Weekly Profit'!B64</f>
        <v/>
      </c>
      <c r="C71" s="51">
        <f>'Weekly Profit'!C64</f>
        <v/>
      </c>
      <c r="D71" s="51">
        <f>'Weekly Profit'!D64</f>
        <v/>
      </c>
      <c r="E71" s="7">
        <f>RevenueWk*MAX(0,MIN(1,B71-PayDays/7))</f>
        <v/>
      </c>
      <c r="F71" s="48">
        <f>'Weekly Profit'!H64</f>
        <v/>
      </c>
      <c r="G71" s="48">
        <f>'Weekly Profit'!I64</f>
        <v/>
      </c>
      <c r="H71" s="7">
        <f>E71+F71+G71</f>
        <v/>
      </c>
      <c r="I71" s="7">
        <f>I70+H71</f>
        <v/>
      </c>
      <c r="J71" s="47">
        <f>IF(AND(D71=1,I70&lt;0,I71&gt;=0,H71&gt;0),(B70+(-I70/H71))/4,"")</f>
        <v/>
      </c>
      <c r="K71" s="7">
        <f>IF(D71=1,I71,0)</f>
        <v/>
      </c>
    </row>
    <row r="72">
      <c r="A72" s="1" t="n"/>
      <c r="B72" s="51">
        <f>'Weekly Profit'!B65</f>
        <v/>
      </c>
      <c r="C72" s="51">
        <f>'Weekly Profit'!C65</f>
        <v/>
      </c>
      <c r="D72" s="51">
        <f>'Weekly Profit'!D65</f>
        <v/>
      </c>
      <c r="E72" s="7">
        <f>RevenueWk*MAX(0,MIN(1,B72-PayDays/7))</f>
        <v/>
      </c>
      <c r="F72" s="48">
        <f>'Weekly Profit'!H65</f>
        <v/>
      </c>
      <c r="G72" s="48">
        <f>'Weekly Profit'!I65</f>
        <v/>
      </c>
      <c r="H72" s="7">
        <f>E72+F72+G72</f>
        <v/>
      </c>
      <c r="I72" s="7">
        <f>I71+H72</f>
        <v/>
      </c>
      <c r="J72" s="47">
        <f>IF(AND(D72=1,I71&lt;0,I72&gt;=0,H72&gt;0),(B71+(-I71/H72))/4,"")</f>
        <v/>
      </c>
      <c r="K72" s="7">
        <f>IF(D72=1,I72,0)</f>
        <v/>
      </c>
    </row>
    <row r="73">
      <c r="A73" s="1" t="n"/>
      <c r="B73" s="51">
        <f>'Weekly Profit'!B66</f>
        <v/>
      </c>
      <c r="C73" s="51">
        <f>'Weekly Profit'!C66</f>
        <v/>
      </c>
      <c r="D73" s="51">
        <f>'Weekly Profit'!D66</f>
        <v/>
      </c>
      <c r="E73" s="7">
        <f>RevenueWk*MAX(0,MIN(1,B73-PayDays/7))</f>
        <v/>
      </c>
      <c r="F73" s="48">
        <f>'Weekly Profit'!H66</f>
        <v/>
      </c>
      <c r="G73" s="48">
        <f>'Weekly Profit'!I66</f>
        <v/>
      </c>
      <c r="H73" s="7">
        <f>E73+F73+G73</f>
        <v/>
      </c>
      <c r="I73" s="7">
        <f>I72+H73</f>
        <v/>
      </c>
      <c r="J73" s="47">
        <f>IF(AND(D73=1,I72&lt;0,I73&gt;=0,H73&gt;0),(B72+(-I72/H73))/4,"")</f>
        <v/>
      </c>
      <c r="K73" s="7">
        <f>IF(D73=1,I73,0)</f>
        <v/>
      </c>
    </row>
    <row r="74">
      <c r="A74" s="1" t="n"/>
      <c r="B74" s="51">
        <f>'Weekly Profit'!B67</f>
        <v/>
      </c>
      <c r="C74" s="51">
        <f>'Weekly Profit'!C67</f>
        <v/>
      </c>
      <c r="D74" s="51">
        <f>'Weekly Profit'!D67</f>
        <v/>
      </c>
      <c r="E74" s="7">
        <f>RevenueWk*MAX(0,MIN(1,B74-PayDays/7))</f>
        <v/>
      </c>
      <c r="F74" s="48">
        <f>'Weekly Profit'!H67</f>
        <v/>
      </c>
      <c r="G74" s="48">
        <f>'Weekly Profit'!I67</f>
        <v/>
      </c>
      <c r="H74" s="7">
        <f>E74+F74+G74</f>
        <v/>
      </c>
      <c r="I74" s="7">
        <f>I73+H74</f>
        <v/>
      </c>
      <c r="J74" s="47">
        <f>IF(AND(D74=1,I73&lt;0,I74&gt;=0,H74&gt;0),(B73+(-I73/H74))/4,"")</f>
        <v/>
      </c>
      <c r="K74" s="7">
        <f>IF(D74=1,I74,0)</f>
        <v/>
      </c>
    </row>
    <row r="75">
      <c r="A75" s="1" t="n"/>
      <c r="B75" s="51">
        <f>'Weekly Profit'!B68</f>
        <v/>
      </c>
      <c r="C75" s="51">
        <f>'Weekly Profit'!C68</f>
        <v/>
      </c>
      <c r="D75" s="51">
        <f>'Weekly Profit'!D68</f>
        <v/>
      </c>
      <c r="E75" s="7">
        <f>RevenueWk*MAX(0,MIN(1,B75-PayDays/7))</f>
        <v/>
      </c>
      <c r="F75" s="48">
        <f>'Weekly Profit'!H68</f>
        <v/>
      </c>
      <c r="G75" s="48">
        <f>'Weekly Profit'!I68</f>
        <v/>
      </c>
      <c r="H75" s="7">
        <f>E75+F75+G75</f>
        <v/>
      </c>
      <c r="I75" s="7">
        <f>I74+H75</f>
        <v/>
      </c>
      <c r="J75" s="47">
        <f>IF(AND(D75=1,I74&lt;0,I75&gt;=0,H75&gt;0),(B74+(-I74/H75))/4,"")</f>
        <v/>
      </c>
      <c r="K75" s="7">
        <f>IF(D75=1,I75,0)</f>
        <v/>
      </c>
    </row>
    <row r="76">
      <c r="A76" s="1" t="n"/>
      <c r="B76" s="51">
        <f>'Weekly Profit'!B69</f>
        <v/>
      </c>
      <c r="C76" s="51">
        <f>'Weekly Profit'!C69</f>
        <v/>
      </c>
      <c r="D76" s="51">
        <f>'Weekly Profit'!D69</f>
        <v/>
      </c>
      <c r="E76" s="7">
        <f>RevenueWk*MAX(0,MIN(1,B76-PayDays/7))</f>
        <v/>
      </c>
      <c r="F76" s="48">
        <f>'Weekly Profit'!H69</f>
        <v/>
      </c>
      <c r="G76" s="48">
        <f>'Weekly Profit'!I69</f>
        <v/>
      </c>
      <c r="H76" s="7">
        <f>E76+F76+G76</f>
        <v/>
      </c>
      <c r="I76" s="7">
        <f>I75+H76</f>
        <v/>
      </c>
      <c r="J76" s="47">
        <f>IF(AND(D76=1,I75&lt;0,I76&gt;=0,H76&gt;0),(B75+(-I75/H76))/4,"")</f>
        <v/>
      </c>
      <c r="K76" s="7">
        <f>IF(D76=1,I76,0)</f>
        <v/>
      </c>
    </row>
    <row r="77">
      <c r="A77" s="1" t="n"/>
      <c r="B77" s="51">
        <f>'Weekly Profit'!B70</f>
        <v/>
      </c>
      <c r="C77" s="51">
        <f>'Weekly Profit'!C70</f>
        <v/>
      </c>
      <c r="D77" s="51">
        <f>'Weekly Profit'!D70</f>
        <v/>
      </c>
      <c r="E77" s="7">
        <f>RevenueWk*MAX(0,MIN(1,B77-PayDays/7))</f>
        <v/>
      </c>
      <c r="F77" s="48">
        <f>'Weekly Profit'!H70</f>
        <v/>
      </c>
      <c r="G77" s="48">
        <f>'Weekly Profit'!I70</f>
        <v/>
      </c>
      <c r="H77" s="7">
        <f>E77+F77+G77</f>
        <v/>
      </c>
      <c r="I77" s="7">
        <f>I76+H77</f>
        <v/>
      </c>
      <c r="J77" s="47">
        <f>IF(AND(D77=1,I76&lt;0,I77&gt;=0,H77&gt;0),(B76+(-I76/H77))/4,"")</f>
        <v/>
      </c>
      <c r="K77" s="7">
        <f>IF(D77=1,I77,0)</f>
        <v/>
      </c>
    </row>
    <row r="78">
      <c r="A78" s="1" t="n"/>
      <c r="B78" s="51">
        <f>'Weekly Profit'!B71</f>
        <v/>
      </c>
      <c r="C78" s="51">
        <f>'Weekly Profit'!C71</f>
        <v/>
      </c>
      <c r="D78" s="51">
        <f>'Weekly Profit'!D71</f>
        <v/>
      </c>
      <c r="E78" s="7">
        <f>RevenueWk*MAX(0,MIN(1,B78-PayDays/7))</f>
        <v/>
      </c>
      <c r="F78" s="48">
        <f>'Weekly Profit'!H71</f>
        <v/>
      </c>
      <c r="G78" s="48">
        <f>'Weekly Profit'!I71</f>
        <v/>
      </c>
      <c r="H78" s="7">
        <f>E78+F78+G78</f>
        <v/>
      </c>
      <c r="I78" s="7">
        <f>I77+H78</f>
        <v/>
      </c>
      <c r="J78" s="47">
        <f>IF(AND(D78=1,I77&lt;0,I78&gt;=0,H78&gt;0),(B77+(-I77/H78))/4,"")</f>
        <v/>
      </c>
      <c r="K78" s="7">
        <f>IF(D78=1,I78,0)</f>
        <v/>
      </c>
    </row>
    <row r="79">
      <c r="A79" s="1" t="n"/>
      <c r="B79" s="51">
        <f>'Weekly Profit'!B72</f>
        <v/>
      </c>
      <c r="C79" s="51">
        <f>'Weekly Profit'!C72</f>
        <v/>
      </c>
      <c r="D79" s="51">
        <f>'Weekly Profit'!D72</f>
        <v/>
      </c>
      <c r="E79" s="7">
        <f>RevenueWk*MAX(0,MIN(1,B79-PayDays/7))</f>
        <v/>
      </c>
      <c r="F79" s="48">
        <f>'Weekly Profit'!H72</f>
        <v/>
      </c>
      <c r="G79" s="48">
        <f>'Weekly Profit'!I72</f>
        <v/>
      </c>
      <c r="H79" s="7">
        <f>E79+F79+G79</f>
        <v/>
      </c>
      <c r="I79" s="7">
        <f>I78+H79</f>
        <v/>
      </c>
      <c r="J79" s="47">
        <f>IF(AND(D79=1,I78&lt;0,I79&gt;=0,H79&gt;0),(B78+(-I78/H79))/4,"")</f>
        <v/>
      </c>
      <c r="K79" s="7">
        <f>IF(D79=1,I79,0)</f>
        <v/>
      </c>
    </row>
    <row r="80">
      <c r="A80" s="1" t="n"/>
      <c r="B80" s="51">
        <f>'Weekly Profit'!B73</f>
        <v/>
      </c>
      <c r="C80" s="51">
        <f>'Weekly Profit'!C73</f>
        <v/>
      </c>
      <c r="D80" s="51">
        <f>'Weekly Profit'!D73</f>
        <v/>
      </c>
      <c r="E80" s="7">
        <f>RevenueWk*MAX(0,MIN(1,B80-PayDays/7))</f>
        <v/>
      </c>
      <c r="F80" s="48">
        <f>'Weekly Profit'!H73</f>
        <v/>
      </c>
      <c r="G80" s="48">
        <f>'Weekly Profit'!I73</f>
        <v/>
      </c>
      <c r="H80" s="7">
        <f>E80+F80+G80</f>
        <v/>
      </c>
      <c r="I80" s="7">
        <f>I79+H80</f>
        <v/>
      </c>
      <c r="J80" s="47">
        <f>IF(AND(D80=1,I79&lt;0,I80&gt;=0,H80&gt;0),(B79+(-I79/H80))/4,"")</f>
        <v/>
      </c>
      <c r="K80" s="7">
        <f>IF(D80=1,I80,0)</f>
        <v/>
      </c>
    </row>
    <row r="81">
      <c r="A81" s="1" t="n"/>
      <c r="B81" s="51">
        <f>'Weekly Profit'!B74</f>
        <v/>
      </c>
      <c r="C81" s="51">
        <f>'Weekly Profit'!C74</f>
        <v/>
      </c>
      <c r="D81" s="51">
        <f>'Weekly Profit'!D74</f>
        <v/>
      </c>
      <c r="E81" s="7">
        <f>RevenueWk*MAX(0,MIN(1,B81-PayDays/7))</f>
        <v/>
      </c>
      <c r="F81" s="48">
        <f>'Weekly Profit'!H74</f>
        <v/>
      </c>
      <c r="G81" s="48">
        <f>'Weekly Profit'!I74</f>
        <v/>
      </c>
      <c r="H81" s="7">
        <f>E81+F81+G81</f>
        <v/>
      </c>
      <c r="I81" s="7">
        <f>I80+H81</f>
        <v/>
      </c>
      <c r="J81" s="47">
        <f>IF(AND(D81=1,I80&lt;0,I81&gt;=0,H81&gt;0),(B80+(-I80/H81))/4,"")</f>
        <v/>
      </c>
      <c r="K81" s="7">
        <f>IF(D81=1,I81,0)</f>
        <v/>
      </c>
    </row>
    <row r="82">
      <c r="A82" s="1" t="n"/>
      <c r="B82" s="51">
        <f>'Weekly Profit'!B75</f>
        <v/>
      </c>
      <c r="C82" s="51">
        <f>'Weekly Profit'!C75</f>
        <v/>
      </c>
      <c r="D82" s="51">
        <f>'Weekly Profit'!D75</f>
        <v/>
      </c>
      <c r="E82" s="7">
        <f>RevenueWk*MAX(0,MIN(1,B82-PayDays/7))</f>
        <v/>
      </c>
      <c r="F82" s="48">
        <f>'Weekly Profit'!H75</f>
        <v/>
      </c>
      <c r="G82" s="48">
        <f>'Weekly Profit'!I75</f>
        <v/>
      </c>
      <c r="H82" s="7">
        <f>E82+F82+G82</f>
        <v/>
      </c>
      <c r="I82" s="7">
        <f>I81+H82</f>
        <v/>
      </c>
      <c r="J82" s="47">
        <f>IF(AND(D82=1,I81&lt;0,I82&gt;=0,H82&gt;0),(B81+(-I81/H82))/4,"")</f>
        <v/>
      </c>
      <c r="K82" s="7">
        <f>IF(D82=1,I82,0)</f>
        <v/>
      </c>
    </row>
    <row r="83">
      <c r="A83" s="1" t="n"/>
      <c r="B83" s="51">
        <f>'Weekly Profit'!B76</f>
        <v/>
      </c>
      <c r="C83" s="51">
        <f>'Weekly Profit'!C76</f>
        <v/>
      </c>
      <c r="D83" s="51">
        <f>'Weekly Profit'!D76</f>
        <v/>
      </c>
      <c r="E83" s="7">
        <f>RevenueWk*MAX(0,MIN(1,B83-PayDays/7))</f>
        <v/>
      </c>
      <c r="F83" s="48">
        <f>'Weekly Profit'!H76</f>
        <v/>
      </c>
      <c r="G83" s="48">
        <f>'Weekly Profit'!I76</f>
        <v/>
      </c>
      <c r="H83" s="7">
        <f>E83+F83+G83</f>
        <v/>
      </c>
      <c r="I83" s="7">
        <f>I82+H83</f>
        <v/>
      </c>
      <c r="J83" s="47">
        <f>IF(AND(D83=1,I82&lt;0,I83&gt;=0,H83&gt;0),(B82+(-I82/H83))/4,"")</f>
        <v/>
      </c>
      <c r="K83" s="7">
        <f>IF(D83=1,I83,0)</f>
        <v/>
      </c>
    </row>
    <row r="84">
      <c r="A84" s="1" t="n"/>
      <c r="B84" s="51">
        <f>'Weekly Profit'!B77</f>
        <v/>
      </c>
      <c r="C84" s="51">
        <f>'Weekly Profit'!C77</f>
        <v/>
      </c>
      <c r="D84" s="51">
        <f>'Weekly Profit'!D77</f>
        <v/>
      </c>
      <c r="E84" s="7">
        <f>RevenueWk*MAX(0,MIN(1,B84-PayDays/7))</f>
        <v/>
      </c>
      <c r="F84" s="48">
        <f>'Weekly Profit'!H77</f>
        <v/>
      </c>
      <c r="G84" s="48">
        <f>'Weekly Profit'!I77</f>
        <v/>
      </c>
      <c r="H84" s="7">
        <f>E84+F84+G84</f>
        <v/>
      </c>
      <c r="I84" s="7">
        <f>I83+H84</f>
        <v/>
      </c>
      <c r="J84" s="47">
        <f>IF(AND(D84=1,I83&lt;0,I84&gt;=0,H84&gt;0),(B83+(-I83/H84))/4,"")</f>
        <v/>
      </c>
      <c r="K84" s="7">
        <f>IF(D84=1,I84,0)</f>
        <v/>
      </c>
    </row>
    <row r="85">
      <c r="A85" s="1" t="n"/>
      <c r="B85" s="51">
        <f>'Weekly Profit'!B78</f>
        <v/>
      </c>
      <c r="C85" s="51">
        <f>'Weekly Profit'!C78</f>
        <v/>
      </c>
      <c r="D85" s="51">
        <f>'Weekly Profit'!D78</f>
        <v/>
      </c>
      <c r="E85" s="7">
        <f>RevenueWk*MAX(0,MIN(1,B85-PayDays/7))</f>
        <v/>
      </c>
      <c r="F85" s="48">
        <f>'Weekly Profit'!H78</f>
        <v/>
      </c>
      <c r="G85" s="48">
        <f>'Weekly Profit'!I78</f>
        <v/>
      </c>
      <c r="H85" s="7">
        <f>E85+F85+G85</f>
        <v/>
      </c>
      <c r="I85" s="7">
        <f>I84+H85</f>
        <v/>
      </c>
      <c r="J85" s="47">
        <f>IF(AND(D85=1,I84&lt;0,I85&gt;=0,H85&gt;0),(B84+(-I84/H85))/4,"")</f>
        <v/>
      </c>
      <c r="K85" s="7">
        <f>IF(D85=1,I85,0)</f>
        <v/>
      </c>
    </row>
    <row r="86">
      <c r="A86" s="1" t="n"/>
      <c r="B86" s="51">
        <f>'Weekly Profit'!B79</f>
        <v/>
      </c>
      <c r="C86" s="51">
        <f>'Weekly Profit'!C79</f>
        <v/>
      </c>
      <c r="D86" s="51">
        <f>'Weekly Profit'!D79</f>
        <v/>
      </c>
      <c r="E86" s="7">
        <f>RevenueWk*MAX(0,MIN(1,B86-PayDays/7))</f>
        <v/>
      </c>
      <c r="F86" s="48">
        <f>'Weekly Profit'!H79</f>
        <v/>
      </c>
      <c r="G86" s="48">
        <f>'Weekly Profit'!I79</f>
        <v/>
      </c>
      <c r="H86" s="7">
        <f>E86+F86+G86</f>
        <v/>
      </c>
      <c r="I86" s="7">
        <f>I85+H86</f>
        <v/>
      </c>
      <c r="J86" s="47">
        <f>IF(AND(D86=1,I85&lt;0,I86&gt;=0,H86&gt;0),(B85+(-I85/H86))/4,"")</f>
        <v/>
      </c>
      <c r="K86" s="7">
        <f>IF(D86=1,I86,0)</f>
        <v/>
      </c>
    </row>
    <row r="87">
      <c r="A87" s="1" t="n"/>
      <c r="B87" s="51">
        <f>'Weekly Profit'!B80</f>
        <v/>
      </c>
      <c r="C87" s="51">
        <f>'Weekly Profit'!C80</f>
        <v/>
      </c>
      <c r="D87" s="51">
        <f>'Weekly Profit'!D80</f>
        <v/>
      </c>
      <c r="E87" s="7">
        <f>RevenueWk*MAX(0,MIN(1,B87-PayDays/7))</f>
        <v/>
      </c>
      <c r="F87" s="48">
        <f>'Weekly Profit'!H80</f>
        <v/>
      </c>
      <c r="G87" s="48">
        <f>'Weekly Profit'!I80</f>
        <v/>
      </c>
      <c r="H87" s="7">
        <f>E87+F87+G87</f>
        <v/>
      </c>
      <c r="I87" s="7">
        <f>I86+H87</f>
        <v/>
      </c>
      <c r="J87" s="47">
        <f>IF(AND(D87=1,I86&lt;0,I87&gt;=0,H87&gt;0),(B86+(-I86/H87))/4,"")</f>
        <v/>
      </c>
      <c r="K87" s="7">
        <f>IF(D87=1,I87,0)</f>
        <v/>
      </c>
    </row>
    <row r="88">
      <c r="A88" s="1" t="n"/>
      <c r="B88" s="51">
        <f>'Weekly Profit'!B81</f>
        <v/>
      </c>
      <c r="C88" s="51">
        <f>'Weekly Profit'!C81</f>
        <v/>
      </c>
      <c r="D88" s="51">
        <f>'Weekly Profit'!D81</f>
        <v/>
      </c>
      <c r="E88" s="7">
        <f>RevenueWk*MAX(0,MIN(1,B88-PayDays/7))</f>
        <v/>
      </c>
      <c r="F88" s="48">
        <f>'Weekly Profit'!H81</f>
        <v/>
      </c>
      <c r="G88" s="48">
        <f>'Weekly Profit'!I81</f>
        <v/>
      </c>
      <c r="H88" s="7">
        <f>E88+F88+G88</f>
        <v/>
      </c>
      <c r="I88" s="7">
        <f>I87+H88</f>
        <v/>
      </c>
      <c r="J88" s="47">
        <f>IF(AND(D88=1,I87&lt;0,I88&gt;=0,H88&gt;0),(B87+(-I87/H88))/4,"")</f>
        <v/>
      </c>
      <c r="K88" s="7">
        <f>IF(D88=1,I88,0)</f>
        <v/>
      </c>
    </row>
    <row r="89">
      <c r="A89" s="1" t="n"/>
      <c r="B89" s="51">
        <f>'Weekly Profit'!B82</f>
        <v/>
      </c>
      <c r="C89" s="51">
        <f>'Weekly Profit'!C82</f>
        <v/>
      </c>
      <c r="D89" s="51">
        <f>'Weekly Profit'!D82</f>
        <v/>
      </c>
      <c r="E89" s="7">
        <f>RevenueWk*MAX(0,MIN(1,B89-PayDays/7))</f>
        <v/>
      </c>
      <c r="F89" s="48">
        <f>'Weekly Profit'!H82</f>
        <v/>
      </c>
      <c r="G89" s="48">
        <f>'Weekly Profit'!I82</f>
        <v/>
      </c>
      <c r="H89" s="7">
        <f>E89+F89+G89</f>
        <v/>
      </c>
      <c r="I89" s="7">
        <f>I88+H89</f>
        <v/>
      </c>
      <c r="J89" s="47">
        <f>IF(AND(D89=1,I88&lt;0,I89&gt;=0,H89&gt;0),(B88+(-I88/H89))/4,"")</f>
        <v/>
      </c>
      <c r="K89" s="7">
        <f>IF(D89=1,I89,0)</f>
        <v/>
      </c>
    </row>
    <row r="90">
      <c r="A90" s="1" t="n"/>
      <c r="B90" s="51">
        <f>'Weekly Profit'!B83</f>
        <v/>
      </c>
      <c r="C90" s="51">
        <f>'Weekly Profit'!C83</f>
        <v/>
      </c>
      <c r="D90" s="51">
        <f>'Weekly Profit'!D83</f>
        <v/>
      </c>
      <c r="E90" s="7">
        <f>RevenueWk*MAX(0,MIN(1,B90-PayDays/7))</f>
        <v/>
      </c>
      <c r="F90" s="48">
        <f>'Weekly Profit'!H83</f>
        <v/>
      </c>
      <c r="G90" s="48">
        <f>'Weekly Profit'!I83</f>
        <v/>
      </c>
      <c r="H90" s="7">
        <f>E90+F90+G90</f>
        <v/>
      </c>
      <c r="I90" s="7">
        <f>I89+H90</f>
        <v/>
      </c>
      <c r="J90" s="47">
        <f>IF(AND(D90=1,I89&lt;0,I90&gt;=0,H90&gt;0),(B89+(-I89/H90))/4,"")</f>
        <v/>
      </c>
      <c r="K90" s="7">
        <f>IF(D90=1,I90,0)</f>
        <v/>
      </c>
    </row>
    <row r="91">
      <c r="A91" s="1" t="n"/>
      <c r="B91" s="51">
        <f>'Weekly Profit'!B84</f>
        <v/>
      </c>
      <c r="C91" s="51">
        <f>'Weekly Profit'!C84</f>
        <v/>
      </c>
      <c r="D91" s="51">
        <f>'Weekly Profit'!D84</f>
        <v/>
      </c>
      <c r="E91" s="7">
        <f>RevenueWk*MAX(0,MIN(1,B91-PayDays/7))</f>
        <v/>
      </c>
      <c r="F91" s="48">
        <f>'Weekly Profit'!H84</f>
        <v/>
      </c>
      <c r="G91" s="48">
        <f>'Weekly Profit'!I84</f>
        <v/>
      </c>
      <c r="H91" s="7">
        <f>E91+F91+G91</f>
        <v/>
      </c>
      <c r="I91" s="7">
        <f>I90+H91</f>
        <v/>
      </c>
      <c r="J91" s="47">
        <f>IF(AND(D91=1,I90&lt;0,I91&gt;=0,H91&gt;0),(B90+(-I90/H91))/4,"")</f>
        <v/>
      </c>
      <c r="K91" s="7">
        <f>IF(D91=1,I91,0)</f>
        <v/>
      </c>
    </row>
    <row r="92">
      <c r="A92" s="1" t="n"/>
      <c r="B92" s="51">
        <f>'Weekly Profit'!B85</f>
        <v/>
      </c>
      <c r="C92" s="51">
        <f>'Weekly Profit'!C85</f>
        <v/>
      </c>
      <c r="D92" s="51">
        <f>'Weekly Profit'!D85</f>
        <v/>
      </c>
      <c r="E92" s="7">
        <f>RevenueWk*MAX(0,MIN(1,B92-PayDays/7))</f>
        <v/>
      </c>
      <c r="F92" s="48">
        <f>'Weekly Profit'!H85</f>
        <v/>
      </c>
      <c r="G92" s="48">
        <f>'Weekly Profit'!I85</f>
        <v/>
      </c>
      <c r="H92" s="7">
        <f>E92+F92+G92</f>
        <v/>
      </c>
      <c r="I92" s="7">
        <f>I91+H92</f>
        <v/>
      </c>
      <c r="J92" s="47">
        <f>IF(AND(D92=1,I91&lt;0,I92&gt;=0,H92&gt;0),(B91+(-I91/H92))/4,"")</f>
        <v/>
      </c>
      <c r="K92" s="7">
        <f>IF(D92=1,I92,0)</f>
        <v/>
      </c>
    </row>
    <row r="93">
      <c r="A93" s="1" t="n"/>
      <c r="B93" s="51">
        <f>'Weekly Profit'!B86</f>
        <v/>
      </c>
      <c r="C93" s="51">
        <f>'Weekly Profit'!C86</f>
        <v/>
      </c>
      <c r="D93" s="51">
        <f>'Weekly Profit'!D86</f>
        <v/>
      </c>
      <c r="E93" s="7">
        <f>RevenueWk*MAX(0,MIN(1,B93-PayDays/7))</f>
        <v/>
      </c>
      <c r="F93" s="48">
        <f>'Weekly Profit'!H86</f>
        <v/>
      </c>
      <c r="G93" s="48">
        <f>'Weekly Profit'!I86</f>
        <v/>
      </c>
      <c r="H93" s="7">
        <f>E93+F93+G93</f>
        <v/>
      </c>
      <c r="I93" s="7">
        <f>I92+H93</f>
        <v/>
      </c>
      <c r="J93" s="47">
        <f>IF(AND(D93=1,I92&lt;0,I93&gt;=0,H93&gt;0),(B92+(-I92/H93))/4,"")</f>
        <v/>
      </c>
      <c r="K93" s="7">
        <f>IF(D93=1,I93,0)</f>
        <v/>
      </c>
    </row>
    <row r="94">
      <c r="A94" s="1" t="n"/>
      <c r="B94" s="51">
        <f>'Weekly Profit'!B87</f>
        <v/>
      </c>
      <c r="C94" s="51">
        <f>'Weekly Profit'!C87</f>
        <v/>
      </c>
      <c r="D94" s="51">
        <f>'Weekly Profit'!D87</f>
        <v/>
      </c>
      <c r="E94" s="7">
        <f>RevenueWk*MAX(0,MIN(1,B94-PayDays/7))</f>
        <v/>
      </c>
      <c r="F94" s="48">
        <f>'Weekly Profit'!H87</f>
        <v/>
      </c>
      <c r="G94" s="48">
        <f>'Weekly Profit'!I87</f>
        <v/>
      </c>
      <c r="H94" s="7">
        <f>E94+F94+G94</f>
        <v/>
      </c>
      <c r="I94" s="7">
        <f>I93+H94</f>
        <v/>
      </c>
      <c r="J94" s="47">
        <f>IF(AND(D94=1,I93&lt;0,I94&gt;=0,H94&gt;0),(B93+(-I93/H94))/4,"")</f>
        <v/>
      </c>
      <c r="K94" s="7">
        <f>IF(D94=1,I94,0)</f>
        <v/>
      </c>
    </row>
    <row r="95">
      <c r="A95" s="1" t="n"/>
      <c r="B95" s="51">
        <f>'Weekly Profit'!B88</f>
        <v/>
      </c>
      <c r="C95" s="51">
        <f>'Weekly Profit'!C88</f>
        <v/>
      </c>
      <c r="D95" s="51">
        <f>'Weekly Profit'!D88</f>
        <v/>
      </c>
      <c r="E95" s="7">
        <f>RevenueWk*MAX(0,MIN(1,B95-PayDays/7))</f>
        <v/>
      </c>
      <c r="F95" s="48">
        <f>'Weekly Profit'!H88</f>
        <v/>
      </c>
      <c r="G95" s="48">
        <f>'Weekly Profit'!I88</f>
        <v/>
      </c>
      <c r="H95" s="7">
        <f>E95+F95+G95</f>
        <v/>
      </c>
      <c r="I95" s="7">
        <f>I94+H95</f>
        <v/>
      </c>
      <c r="J95" s="47">
        <f>IF(AND(D95=1,I94&lt;0,I95&gt;=0,H95&gt;0),(B94+(-I94/H95))/4,"")</f>
        <v/>
      </c>
      <c r="K95" s="7">
        <f>IF(D95=1,I95,0)</f>
        <v/>
      </c>
    </row>
    <row r="96">
      <c r="A96" s="1" t="n"/>
      <c r="B96" s="51">
        <f>'Weekly Profit'!B89</f>
        <v/>
      </c>
      <c r="C96" s="51">
        <f>'Weekly Profit'!C89</f>
        <v/>
      </c>
      <c r="D96" s="51">
        <f>'Weekly Profit'!D89</f>
        <v/>
      </c>
      <c r="E96" s="7">
        <f>RevenueWk*MAX(0,MIN(1,B96-PayDays/7))</f>
        <v/>
      </c>
      <c r="F96" s="48">
        <f>'Weekly Profit'!H89</f>
        <v/>
      </c>
      <c r="G96" s="48">
        <f>'Weekly Profit'!I89</f>
        <v/>
      </c>
      <c r="H96" s="7">
        <f>E96+F96+G96</f>
        <v/>
      </c>
      <c r="I96" s="7">
        <f>I95+H96</f>
        <v/>
      </c>
      <c r="J96" s="47">
        <f>IF(AND(D96=1,I95&lt;0,I96&gt;=0,H96&gt;0),(B95+(-I95/H96))/4,"")</f>
        <v/>
      </c>
      <c r="K96" s="7">
        <f>IF(D96=1,I96,0)</f>
        <v/>
      </c>
    </row>
    <row r="97">
      <c r="A97" s="1" t="n"/>
      <c r="B97" s="51">
        <f>'Weekly Profit'!B90</f>
        <v/>
      </c>
      <c r="C97" s="51">
        <f>'Weekly Profit'!C90</f>
        <v/>
      </c>
      <c r="D97" s="51">
        <f>'Weekly Profit'!D90</f>
        <v/>
      </c>
      <c r="E97" s="7">
        <f>RevenueWk*MAX(0,MIN(1,B97-PayDays/7))</f>
        <v/>
      </c>
      <c r="F97" s="48">
        <f>'Weekly Profit'!H90</f>
        <v/>
      </c>
      <c r="G97" s="48">
        <f>'Weekly Profit'!I90</f>
        <v/>
      </c>
      <c r="H97" s="7">
        <f>E97+F97+G97</f>
        <v/>
      </c>
      <c r="I97" s="7">
        <f>I96+H97</f>
        <v/>
      </c>
      <c r="J97" s="47">
        <f>IF(AND(D97=1,I96&lt;0,I97&gt;=0,H97&gt;0),(B96+(-I96/H97))/4,"")</f>
        <v/>
      </c>
      <c r="K97" s="7">
        <f>IF(D97=1,I97,0)</f>
        <v/>
      </c>
    </row>
    <row r="98">
      <c r="A98" s="1" t="n"/>
      <c r="B98" s="51">
        <f>'Weekly Profit'!B91</f>
        <v/>
      </c>
      <c r="C98" s="51">
        <f>'Weekly Profit'!C91</f>
        <v/>
      </c>
      <c r="D98" s="51">
        <f>'Weekly Profit'!D91</f>
        <v/>
      </c>
      <c r="E98" s="7">
        <f>RevenueWk*MAX(0,MIN(1,B98-PayDays/7))</f>
        <v/>
      </c>
      <c r="F98" s="48">
        <f>'Weekly Profit'!H91</f>
        <v/>
      </c>
      <c r="G98" s="48">
        <f>'Weekly Profit'!I91</f>
        <v/>
      </c>
      <c r="H98" s="7">
        <f>E98+F98+G98</f>
        <v/>
      </c>
      <c r="I98" s="7">
        <f>I97+H98</f>
        <v/>
      </c>
      <c r="J98" s="47">
        <f>IF(AND(D98=1,I97&lt;0,I98&gt;=0,H98&gt;0),(B97+(-I97/H98))/4,"")</f>
        <v/>
      </c>
      <c r="K98" s="7">
        <f>IF(D98=1,I98,0)</f>
        <v/>
      </c>
    </row>
    <row r="99">
      <c r="A99" s="1" t="n"/>
      <c r="B99" s="51">
        <f>'Weekly Profit'!B92</f>
        <v/>
      </c>
      <c r="C99" s="51">
        <f>'Weekly Profit'!C92</f>
        <v/>
      </c>
      <c r="D99" s="51">
        <f>'Weekly Profit'!D92</f>
        <v/>
      </c>
      <c r="E99" s="7">
        <f>RevenueWk*MAX(0,MIN(1,B99-PayDays/7))</f>
        <v/>
      </c>
      <c r="F99" s="48">
        <f>'Weekly Profit'!H92</f>
        <v/>
      </c>
      <c r="G99" s="48">
        <f>'Weekly Profit'!I92</f>
        <v/>
      </c>
      <c r="H99" s="7">
        <f>E99+F99+G99</f>
        <v/>
      </c>
      <c r="I99" s="7">
        <f>I98+H99</f>
        <v/>
      </c>
      <c r="J99" s="47">
        <f>IF(AND(D99=1,I98&lt;0,I99&gt;=0,H99&gt;0),(B98+(-I98/H99))/4,"")</f>
        <v/>
      </c>
      <c r="K99" s="7">
        <f>IF(D99=1,I99,0)</f>
        <v/>
      </c>
    </row>
    <row r="100">
      <c r="A100" s="1" t="n"/>
      <c r="B100" s="51">
        <f>'Weekly Profit'!B93</f>
        <v/>
      </c>
      <c r="C100" s="51">
        <f>'Weekly Profit'!C93</f>
        <v/>
      </c>
      <c r="D100" s="51">
        <f>'Weekly Profit'!D93</f>
        <v/>
      </c>
      <c r="E100" s="7">
        <f>RevenueWk*MAX(0,MIN(1,B100-PayDays/7))</f>
        <v/>
      </c>
      <c r="F100" s="48">
        <f>'Weekly Profit'!H93</f>
        <v/>
      </c>
      <c r="G100" s="48">
        <f>'Weekly Profit'!I93</f>
        <v/>
      </c>
      <c r="H100" s="7">
        <f>E100+F100+G100</f>
        <v/>
      </c>
      <c r="I100" s="7">
        <f>I99+H100</f>
        <v/>
      </c>
      <c r="J100" s="47">
        <f>IF(AND(D100=1,I99&lt;0,I100&gt;=0,H100&gt;0),(B99+(-I99/H100))/4,"")</f>
        <v/>
      </c>
      <c r="K100" s="7">
        <f>IF(D100=1,I100,0)</f>
        <v/>
      </c>
    </row>
    <row r="101">
      <c r="A101" s="1" t="n"/>
      <c r="B101" s="51">
        <f>'Weekly Profit'!B94</f>
        <v/>
      </c>
      <c r="C101" s="51">
        <f>'Weekly Profit'!C94</f>
        <v/>
      </c>
      <c r="D101" s="51">
        <f>'Weekly Profit'!D94</f>
        <v/>
      </c>
      <c r="E101" s="7">
        <f>RevenueWk*MAX(0,MIN(1,B101-PayDays/7))</f>
        <v/>
      </c>
      <c r="F101" s="48">
        <f>'Weekly Profit'!H94</f>
        <v/>
      </c>
      <c r="G101" s="48">
        <f>'Weekly Profit'!I94</f>
        <v/>
      </c>
      <c r="H101" s="7">
        <f>E101+F101+G101</f>
        <v/>
      </c>
      <c r="I101" s="7">
        <f>I100+H101</f>
        <v/>
      </c>
      <c r="J101" s="47">
        <f>IF(AND(D101=1,I100&lt;0,I101&gt;=0,H101&gt;0),(B100+(-I100/H101))/4,"")</f>
        <v/>
      </c>
      <c r="K101" s="7">
        <f>IF(D101=1,I101,0)</f>
        <v/>
      </c>
    </row>
    <row r="102">
      <c r="A102" s="1" t="n"/>
      <c r="B102" s="51">
        <f>'Weekly Profit'!B95</f>
        <v/>
      </c>
      <c r="C102" s="51">
        <f>'Weekly Profit'!C95</f>
        <v/>
      </c>
      <c r="D102" s="51">
        <f>'Weekly Profit'!D95</f>
        <v/>
      </c>
      <c r="E102" s="7">
        <f>RevenueWk*MAX(0,MIN(1,B102-PayDays/7))</f>
        <v/>
      </c>
      <c r="F102" s="48">
        <f>'Weekly Profit'!H95</f>
        <v/>
      </c>
      <c r="G102" s="48">
        <f>'Weekly Profit'!I95</f>
        <v/>
      </c>
      <c r="H102" s="7">
        <f>E102+F102+G102</f>
        <v/>
      </c>
      <c r="I102" s="7">
        <f>I101+H102</f>
        <v/>
      </c>
      <c r="J102" s="47">
        <f>IF(AND(D102=1,I101&lt;0,I102&gt;=0,H102&gt;0),(B101+(-I101/H102))/4,"")</f>
        <v/>
      </c>
      <c r="K102" s="7">
        <f>IF(D102=1,I102,0)</f>
        <v/>
      </c>
    </row>
    <row r="103">
      <c r="A103" s="1" t="n"/>
      <c r="B103" s="51">
        <f>'Weekly Profit'!B96</f>
        <v/>
      </c>
      <c r="C103" s="51">
        <f>'Weekly Profit'!C96</f>
        <v/>
      </c>
      <c r="D103" s="51">
        <f>'Weekly Profit'!D96</f>
        <v/>
      </c>
      <c r="E103" s="7">
        <f>RevenueWk*MAX(0,MIN(1,B103-PayDays/7))</f>
        <v/>
      </c>
      <c r="F103" s="48">
        <f>'Weekly Profit'!H96</f>
        <v/>
      </c>
      <c r="G103" s="48">
        <f>'Weekly Profit'!I96</f>
        <v/>
      </c>
      <c r="H103" s="7">
        <f>E103+F103+G103</f>
        <v/>
      </c>
      <c r="I103" s="7">
        <f>I102+H103</f>
        <v/>
      </c>
      <c r="J103" s="47">
        <f>IF(AND(D103=1,I102&lt;0,I103&gt;=0,H103&gt;0),(B102+(-I102/H103))/4,"")</f>
        <v/>
      </c>
      <c r="K103" s="7">
        <f>IF(D103=1,I103,0)</f>
        <v/>
      </c>
    </row>
    <row r="104">
      <c r="A104" s="1" t="n"/>
      <c r="B104" s="51">
        <f>'Weekly Profit'!B97</f>
        <v/>
      </c>
      <c r="C104" s="51">
        <f>'Weekly Profit'!C97</f>
        <v/>
      </c>
      <c r="D104" s="51">
        <f>'Weekly Profit'!D97</f>
        <v/>
      </c>
      <c r="E104" s="7">
        <f>RevenueWk*MAX(0,MIN(1,B104-PayDays/7))</f>
        <v/>
      </c>
      <c r="F104" s="48">
        <f>'Weekly Profit'!H97</f>
        <v/>
      </c>
      <c r="G104" s="48">
        <f>'Weekly Profit'!I97</f>
        <v/>
      </c>
      <c r="H104" s="7">
        <f>E104+F104+G104</f>
        <v/>
      </c>
      <c r="I104" s="7">
        <f>I103+H104</f>
        <v/>
      </c>
      <c r="J104" s="47">
        <f>IF(AND(D104=1,I103&lt;0,I104&gt;=0,H104&gt;0),(B103+(-I103/H104))/4,"")</f>
        <v/>
      </c>
      <c r="K104" s="7">
        <f>IF(D104=1,I104,0)</f>
        <v/>
      </c>
    </row>
    <row r="105">
      <c r="A105" s="1" t="n"/>
      <c r="B105" s="51">
        <f>'Weekly Profit'!B98</f>
        <v/>
      </c>
      <c r="C105" s="51">
        <f>'Weekly Profit'!C98</f>
        <v/>
      </c>
      <c r="D105" s="51">
        <f>'Weekly Profit'!D98</f>
        <v/>
      </c>
      <c r="E105" s="7">
        <f>RevenueWk*MAX(0,MIN(1,B105-PayDays/7))</f>
        <v/>
      </c>
      <c r="F105" s="48">
        <f>'Weekly Profit'!H98</f>
        <v/>
      </c>
      <c r="G105" s="48">
        <f>'Weekly Profit'!I98</f>
        <v/>
      </c>
      <c r="H105" s="7">
        <f>E105+F105+G105</f>
        <v/>
      </c>
      <c r="I105" s="7">
        <f>I104+H105</f>
        <v/>
      </c>
      <c r="J105" s="47">
        <f>IF(AND(D105=1,I104&lt;0,I105&gt;=0,H105&gt;0),(B104+(-I104/H105))/4,"")</f>
        <v/>
      </c>
      <c r="K105" s="7">
        <f>IF(D105=1,I105,0)</f>
        <v/>
      </c>
    </row>
    <row r="106">
      <c r="A106" s="1" t="n"/>
      <c r="B106" s="51">
        <f>'Weekly Profit'!B99</f>
        <v/>
      </c>
      <c r="C106" s="51">
        <f>'Weekly Profit'!C99</f>
        <v/>
      </c>
      <c r="D106" s="51">
        <f>'Weekly Profit'!D99</f>
        <v/>
      </c>
      <c r="E106" s="7">
        <f>RevenueWk*MAX(0,MIN(1,B106-PayDays/7))</f>
        <v/>
      </c>
      <c r="F106" s="48">
        <f>'Weekly Profit'!H99</f>
        <v/>
      </c>
      <c r="G106" s="48">
        <f>'Weekly Profit'!I99</f>
        <v/>
      </c>
      <c r="H106" s="7">
        <f>E106+F106+G106</f>
        <v/>
      </c>
      <c r="I106" s="7">
        <f>I105+H106</f>
        <v/>
      </c>
      <c r="J106" s="47">
        <f>IF(AND(D106=1,I105&lt;0,I106&gt;=0,H106&gt;0),(B105+(-I105/H106))/4,"")</f>
        <v/>
      </c>
      <c r="K106" s="7">
        <f>IF(D106=1,I106,0)</f>
        <v/>
      </c>
    </row>
    <row r="107">
      <c r="A107" s="1" t="n"/>
      <c r="B107" s="51">
        <f>'Weekly Profit'!B100</f>
        <v/>
      </c>
      <c r="C107" s="51">
        <f>'Weekly Profit'!C100</f>
        <v/>
      </c>
      <c r="D107" s="51">
        <f>'Weekly Profit'!D100</f>
        <v/>
      </c>
      <c r="E107" s="7">
        <f>RevenueWk*MAX(0,MIN(1,B107-PayDays/7))</f>
        <v/>
      </c>
      <c r="F107" s="48">
        <f>'Weekly Profit'!H100</f>
        <v/>
      </c>
      <c r="G107" s="48">
        <f>'Weekly Profit'!I100</f>
        <v/>
      </c>
      <c r="H107" s="7">
        <f>E107+F107+G107</f>
        <v/>
      </c>
      <c r="I107" s="7">
        <f>I106+H107</f>
        <v/>
      </c>
      <c r="J107" s="47">
        <f>IF(AND(D107=1,I106&lt;0,I107&gt;=0,H107&gt;0),(B106+(-I106/H107))/4,"")</f>
        <v/>
      </c>
      <c r="K107" s="7">
        <f>IF(D107=1,I107,0)</f>
        <v/>
      </c>
    </row>
    <row r="108">
      <c r="A108" s="1" t="n"/>
      <c r="B108" s="51">
        <f>'Weekly Profit'!B101</f>
        <v/>
      </c>
      <c r="C108" s="51">
        <f>'Weekly Profit'!C101</f>
        <v/>
      </c>
      <c r="D108" s="51">
        <f>'Weekly Profit'!D101</f>
        <v/>
      </c>
      <c r="E108" s="7">
        <f>RevenueWk*MAX(0,MIN(1,B108-PayDays/7))</f>
        <v/>
      </c>
      <c r="F108" s="48">
        <f>'Weekly Profit'!H101</f>
        <v/>
      </c>
      <c r="G108" s="48">
        <f>'Weekly Profit'!I101</f>
        <v/>
      </c>
      <c r="H108" s="7">
        <f>E108+F108+G108</f>
        <v/>
      </c>
      <c r="I108" s="7">
        <f>I107+H108</f>
        <v/>
      </c>
      <c r="J108" s="47">
        <f>IF(AND(D108=1,I107&lt;0,I108&gt;=0,H108&gt;0),(B107+(-I107/H108))/4,"")</f>
        <v/>
      </c>
      <c r="K108" s="7">
        <f>IF(D108=1,I108,0)</f>
        <v/>
      </c>
    </row>
    <row r="109">
      <c r="A109" s="1" t="n"/>
      <c r="B109" s="51">
        <f>'Weekly Profit'!B102</f>
        <v/>
      </c>
      <c r="C109" s="51">
        <f>'Weekly Profit'!C102</f>
        <v/>
      </c>
      <c r="D109" s="51">
        <f>'Weekly Profit'!D102</f>
        <v/>
      </c>
      <c r="E109" s="7">
        <f>RevenueWk*MAX(0,MIN(1,B109-PayDays/7))</f>
        <v/>
      </c>
      <c r="F109" s="48">
        <f>'Weekly Profit'!H102</f>
        <v/>
      </c>
      <c r="G109" s="48">
        <f>'Weekly Profit'!I102</f>
        <v/>
      </c>
      <c r="H109" s="7">
        <f>E109+F109+G109</f>
        <v/>
      </c>
      <c r="I109" s="7">
        <f>I108+H109</f>
        <v/>
      </c>
      <c r="J109" s="47">
        <f>IF(AND(D109=1,I108&lt;0,I109&gt;=0,H109&gt;0),(B108+(-I108/H109))/4,"")</f>
        <v/>
      </c>
      <c r="K109" s="7">
        <f>IF(D109=1,I109,0)</f>
        <v/>
      </c>
    </row>
    <row r="110">
      <c r="A110" s="1" t="n"/>
      <c r="B110" s="51">
        <f>'Weekly Profit'!B103</f>
        <v/>
      </c>
      <c r="C110" s="51">
        <f>'Weekly Profit'!C103</f>
        <v/>
      </c>
      <c r="D110" s="51">
        <f>'Weekly Profit'!D103</f>
        <v/>
      </c>
      <c r="E110" s="7">
        <f>RevenueWk*MAX(0,MIN(1,B110-PayDays/7))</f>
        <v/>
      </c>
      <c r="F110" s="48">
        <f>'Weekly Profit'!H103</f>
        <v/>
      </c>
      <c r="G110" s="48">
        <f>'Weekly Profit'!I103</f>
        <v/>
      </c>
      <c r="H110" s="7">
        <f>E110+F110+G110</f>
        <v/>
      </c>
      <c r="I110" s="7">
        <f>I109+H110</f>
        <v/>
      </c>
      <c r="J110" s="47">
        <f>IF(AND(D110=1,I109&lt;0,I110&gt;=0,H110&gt;0),(B109+(-I109/H110))/4,"")</f>
        <v/>
      </c>
      <c r="K110" s="7">
        <f>IF(D110=1,I110,0)</f>
        <v/>
      </c>
    </row>
    <row r="111">
      <c r="A111" s="1" t="n"/>
      <c r="B111" s="51">
        <f>'Weekly Profit'!B104</f>
        <v/>
      </c>
      <c r="C111" s="51">
        <f>'Weekly Profit'!C104</f>
        <v/>
      </c>
      <c r="D111" s="51">
        <f>'Weekly Profit'!D104</f>
        <v/>
      </c>
      <c r="E111" s="7">
        <f>RevenueWk*MAX(0,MIN(1,B111-PayDays/7))</f>
        <v/>
      </c>
      <c r="F111" s="48">
        <f>'Weekly Profit'!H104</f>
        <v/>
      </c>
      <c r="G111" s="48">
        <f>'Weekly Profit'!I104</f>
        <v/>
      </c>
      <c r="H111" s="7">
        <f>E111+F111+G111</f>
        <v/>
      </c>
      <c r="I111" s="7">
        <f>I110+H111</f>
        <v/>
      </c>
      <c r="J111" s="47">
        <f>IF(AND(D111=1,I110&lt;0,I111&gt;=0,H111&gt;0),(B110+(-I110/H111))/4,"")</f>
        <v/>
      </c>
      <c r="K111" s="7">
        <f>IF(D111=1,I111,0)</f>
        <v/>
      </c>
    </row>
    <row r="112">
      <c r="A112" s="1" t="n"/>
      <c r="B112" s="51">
        <f>'Weekly Profit'!B105</f>
        <v/>
      </c>
      <c r="C112" s="51">
        <f>'Weekly Profit'!C105</f>
        <v/>
      </c>
      <c r="D112" s="51">
        <f>'Weekly Profit'!D105</f>
        <v/>
      </c>
      <c r="E112" s="7">
        <f>RevenueWk*MAX(0,MIN(1,B112-PayDays/7))</f>
        <v/>
      </c>
      <c r="F112" s="48">
        <f>'Weekly Profit'!H105</f>
        <v/>
      </c>
      <c r="G112" s="48">
        <f>'Weekly Profit'!I105</f>
        <v/>
      </c>
      <c r="H112" s="7">
        <f>E112+F112+G112</f>
        <v/>
      </c>
      <c r="I112" s="7">
        <f>I111+H112</f>
        <v/>
      </c>
      <c r="J112" s="47">
        <f>IF(AND(D112=1,I111&lt;0,I112&gt;=0,H112&gt;0),(B111+(-I111/H112))/4,"")</f>
        <v/>
      </c>
      <c r="K112" s="7">
        <f>IF(D112=1,I112,0)</f>
        <v/>
      </c>
    </row>
    <row r="113">
      <c r="A113" s="1" t="n"/>
      <c r="B113" s="51">
        <f>'Weekly Profit'!B106</f>
        <v/>
      </c>
      <c r="C113" s="51">
        <f>'Weekly Profit'!C106</f>
        <v/>
      </c>
      <c r="D113" s="51">
        <f>'Weekly Profit'!D106</f>
        <v/>
      </c>
      <c r="E113" s="7">
        <f>RevenueWk*MAX(0,MIN(1,B113-PayDays/7))</f>
        <v/>
      </c>
      <c r="F113" s="48">
        <f>'Weekly Profit'!H106</f>
        <v/>
      </c>
      <c r="G113" s="48">
        <f>'Weekly Profit'!I106</f>
        <v/>
      </c>
      <c r="H113" s="7">
        <f>E113+F113+G113</f>
        <v/>
      </c>
      <c r="I113" s="7">
        <f>I112+H113</f>
        <v/>
      </c>
      <c r="J113" s="47">
        <f>IF(AND(D113=1,I112&lt;0,I113&gt;=0,H113&gt;0),(B112+(-I112/H113))/4,"")</f>
        <v/>
      </c>
      <c r="K113" s="7">
        <f>IF(D113=1,I113,0)</f>
        <v/>
      </c>
    </row>
    <row r="114">
      <c r="A114" s="1" t="n"/>
      <c r="B114" s="51">
        <f>'Weekly Profit'!B107</f>
        <v/>
      </c>
      <c r="C114" s="51">
        <f>'Weekly Profit'!C107</f>
        <v/>
      </c>
      <c r="D114" s="51">
        <f>'Weekly Profit'!D107</f>
        <v/>
      </c>
      <c r="E114" s="7">
        <f>RevenueWk*MAX(0,MIN(1,B114-PayDays/7))</f>
        <v/>
      </c>
      <c r="F114" s="48">
        <f>'Weekly Profit'!H107</f>
        <v/>
      </c>
      <c r="G114" s="48">
        <f>'Weekly Profit'!I107</f>
        <v/>
      </c>
      <c r="H114" s="7">
        <f>E114+F114+G114</f>
        <v/>
      </c>
      <c r="I114" s="7">
        <f>I113+H114</f>
        <v/>
      </c>
      <c r="J114" s="47">
        <f>IF(AND(D114=1,I113&lt;0,I114&gt;=0,H114&gt;0),(B113+(-I113/H114))/4,"")</f>
        <v/>
      </c>
      <c r="K114" s="7">
        <f>IF(D114=1,I114,0)</f>
        <v/>
      </c>
    </row>
    <row r="115">
      <c r="A115" s="1" t="n"/>
      <c r="B115" s="51">
        <f>'Weekly Profit'!B108</f>
        <v/>
      </c>
      <c r="C115" s="51">
        <f>'Weekly Profit'!C108</f>
        <v/>
      </c>
      <c r="D115" s="51">
        <f>'Weekly Profit'!D108</f>
        <v/>
      </c>
      <c r="E115" s="7">
        <f>RevenueWk*MAX(0,MIN(1,B115-PayDays/7))</f>
        <v/>
      </c>
      <c r="F115" s="48">
        <f>'Weekly Profit'!H108</f>
        <v/>
      </c>
      <c r="G115" s="48">
        <f>'Weekly Profit'!I108</f>
        <v/>
      </c>
      <c r="H115" s="7">
        <f>E115+F115+G115</f>
        <v/>
      </c>
      <c r="I115" s="7">
        <f>I114+H115</f>
        <v/>
      </c>
      <c r="J115" s="47">
        <f>IF(AND(D115=1,I114&lt;0,I115&gt;=0,H115&gt;0),(B114+(-I114/H115))/4,"")</f>
        <v/>
      </c>
      <c r="K115" s="7">
        <f>IF(D115=1,I115,0)</f>
        <v/>
      </c>
    </row>
    <row r="116">
      <c r="A116" s="1" t="n"/>
      <c r="B116" s="51">
        <f>'Weekly Profit'!B109</f>
        <v/>
      </c>
      <c r="C116" s="51">
        <f>'Weekly Profit'!C109</f>
        <v/>
      </c>
      <c r="D116" s="51">
        <f>'Weekly Profit'!D109</f>
        <v/>
      </c>
      <c r="E116" s="7">
        <f>RevenueWk*MAX(0,MIN(1,B116-PayDays/7))</f>
        <v/>
      </c>
      <c r="F116" s="48">
        <f>'Weekly Profit'!H109</f>
        <v/>
      </c>
      <c r="G116" s="48">
        <f>'Weekly Profit'!I109</f>
        <v/>
      </c>
      <c r="H116" s="7">
        <f>E116+F116+G116</f>
        <v/>
      </c>
      <c r="I116" s="7">
        <f>I115+H116</f>
        <v/>
      </c>
      <c r="J116" s="47">
        <f>IF(AND(D116=1,I115&lt;0,I116&gt;=0,H116&gt;0),(B115+(-I115/H116))/4,"")</f>
        <v/>
      </c>
      <c r="K116" s="7">
        <f>IF(D116=1,I116,0)</f>
        <v/>
      </c>
    </row>
    <row r="117">
      <c r="A117" s="1" t="n"/>
      <c r="B117" s="51">
        <f>'Weekly Profit'!B110</f>
        <v/>
      </c>
      <c r="C117" s="51">
        <f>'Weekly Profit'!C110</f>
        <v/>
      </c>
      <c r="D117" s="51">
        <f>'Weekly Profit'!D110</f>
        <v/>
      </c>
      <c r="E117" s="7">
        <f>RevenueWk*MAX(0,MIN(1,B117-PayDays/7))</f>
        <v/>
      </c>
      <c r="F117" s="48">
        <f>'Weekly Profit'!H110</f>
        <v/>
      </c>
      <c r="G117" s="48">
        <f>'Weekly Profit'!I110</f>
        <v/>
      </c>
      <c r="H117" s="7">
        <f>E117+F117+G117</f>
        <v/>
      </c>
      <c r="I117" s="7">
        <f>I116+H117</f>
        <v/>
      </c>
      <c r="J117" s="47">
        <f>IF(AND(D117=1,I116&lt;0,I117&gt;=0,H117&gt;0),(B116+(-I116/H117))/4,"")</f>
        <v/>
      </c>
      <c r="K117" s="7">
        <f>IF(D117=1,I117,0)</f>
        <v/>
      </c>
    </row>
    <row r="118">
      <c r="A118" s="1" t="n"/>
      <c r="B118" s="51">
        <f>'Weekly Profit'!B111</f>
        <v/>
      </c>
      <c r="C118" s="51">
        <f>'Weekly Profit'!C111</f>
        <v/>
      </c>
      <c r="D118" s="51">
        <f>'Weekly Profit'!D111</f>
        <v/>
      </c>
      <c r="E118" s="7">
        <f>RevenueWk*MAX(0,MIN(1,B118-PayDays/7))</f>
        <v/>
      </c>
      <c r="F118" s="48">
        <f>'Weekly Profit'!H111</f>
        <v/>
      </c>
      <c r="G118" s="48">
        <f>'Weekly Profit'!I111</f>
        <v/>
      </c>
      <c r="H118" s="7">
        <f>E118+F118+G118</f>
        <v/>
      </c>
      <c r="I118" s="7">
        <f>I117+H118</f>
        <v/>
      </c>
      <c r="J118" s="47">
        <f>IF(AND(D118=1,I117&lt;0,I118&gt;=0,H118&gt;0),(B117+(-I117/H118))/4,"")</f>
        <v/>
      </c>
      <c r="K118" s="7">
        <f>IF(D118=1,I118,0)</f>
        <v/>
      </c>
    </row>
    <row r="119">
      <c r="A119" s="1" t="n"/>
      <c r="B119" s="51">
        <f>'Weekly Profit'!B112</f>
        <v/>
      </c>
      <c r="C119" s="51">
        <f>'Weekly Profit'!C112</f>
        <v/>
      </c>
      <c r="D119" s="51">
        <f>'Weekly Profit'!D112</f>
        <v/>
      </c>
      <c r="E119" s="7">
        <f>RevenueWk*MAX(0,MIN(1,B119-PayDays/7))</f>
        <v/>
      </c>
      <c r="F119" s="48">
        <f>'Weekly Profit'!H112</f>
        <v/>
      </c>
      <c r="G119" s="48">
        <f>'Weekly Profit'!I112</f>
        <v/>
      </c>
      <c r="H119" s="7">
        <f>E119+F119+G119</f>
        <v/>
      </c>
      <c r="I119" s="7">
        <f>I118+H119</f>
        <v/>
      </c>
      <c r="J119" s="47">
        <f>IF(AND(D119=1,I118&lt;0,I119&gt;=0,H119&gt;0),(B118+(-I118/H119))/4,"")</f>
        <v/>
      </c>
      <c r="K119" s="7">
        <f>IF(D119=1,I119,0)</f>
        <v/>
      </c>
    </row>
    <row r="120">
      <c r="A120" s="1" t="n"/>
      <c r="B120" s="51">
        <f>'Weekly Profit'!B113</f>
        <v/>
      </c>
      <c r="C120" s="51">
        <f>'Weekly Profit'!C113</f>
        <v/>
      </c>
      <c r="D120" s="51">
        <f>'Weekly Profit'!D113</f>
        <v/>
      </c>
      <c r="E120" s="7">
        <f>RevenueWk*MAX(0,MIN(1,B120-PayDays/7))</f>
        <v/>
      </c>
      <c r="F120" s="48">
        <f>'Weekly Profit'!H113</f>
        <v/>
      </c>
      <c r="G120" s="48">
        <f>'Weekly Profit'!I113</f>
        <v/>
      </c>
      <c r="H120" s="7">
        <f>E120+F120+G120</f>
        <v/>
      </c>
      <c r="I120" s="7">
        <f>I119+H120</f>
        <v/>
      </c>
      <c r="J120" s="47">
        <f>IF(AND(D120=1,I119&lt;0,I120&gt;=0,H120&gt;0),(B119+(-I119/H120))/4,"")</f>
        <v/>
      </c>
      <c r="K120" s="7">
        <f>IF(D120=1,I120,0)</f>
        <v/>
      </c>
    </row>
    <row r="121">
      <c r="A121" s="1" t="n"/>
      <c r="B121" s="51">
        <f>'Weekly Profit'!B114</f>
        <v/>
      </c>
      <c r="C121" s="51">
        <f>'Weekly Profit'!C114</f>
        <v/>
      </c>
      <c r="D121" s="51">
        <f>'Weekly Profit'!D114</f>
        <v/>
      </c>
      <c r="E121" s="7">
        <f>RevenueWk*MAX(0,MIN(1,B121-PayDays/7))</f>
        <v/>
      </c>
      <c r="F121" s="48">
        <f>'Weekly Profit'!H114</f>
        <v/>
      </c>
      <c r="G121" s="48">
        <f>'Weekly Profit'!I114</f>
        <v/>
      </c>
      <c r="H121" s="7">
        <f>E121+F121+G121</f>
        <v/>
      </c>
      <c r="I121" s="7">
        <f>I120+H121</f>
        <v/>
      </c>
      <c r="J121" s="47">
        <f>IF(AND(D121=1,I120&lt;0,I121&gt;=0,H121&gt;0),(B120+(-I120/H121))/4,"")</f>
        <v/>
      </c>
      <c r="K121" s="7">
        <f>IF(D121=1,I121,0)</f>
        <v/>
      </c>
    </row>
    <row r="122">
      <c r="A122" s="1" t="n"/>
      <c r="B122" s="51">
        <f>'Weekly Profit'!B115</f>
        <v/>
      </c>
      <c r="C122" s="51">
        <f>'Weekly Profit'!C115</f>
        <v/>
      </c>
      <c r="D122" s="51">
        <f>'Weekly Profit'!D115</f>
        <v/>
      </c>
      <c r="E122" s="7">
        <f>RevenueWk*MAX(0,MIN(1,B122-PayDays/7))</f>
        <v/>
      </c>
      <c r="F122" s="48">
        <f>'Weekly Profit'!H115</f>
        <v/>
      </c>
      <c r="G122" s="48">
        <f>'Weekly Profit'!I115</f>
        <v/>
      </c>
      <c r="H122" s="7">
        <f>E122+F122+G122</f>
        <v/>
      </c>
      <c r="I122" s="7">
        <f>I121+H122</f>
        <v/>
      </c>
      <c r="J122" s="47">
        <f>IF(AND(D122=1,I121&lt;0,I122&gt;=0,H122&gt;0),(B121+(-I121/H122))/4,"")</f>
        <v/>
      </c>
      <c r="K122" s="7">
        <f>IF(D122=1,I122,0)</f>
        <v/>
      </c>
    </row>
    <row r="123">
      <c r="A123" s="1" t="n"/>
      <c r="B123" s="51">
        <f>'Weekly Profit'!B116</f>
        <v/>
      </c>
      <c r="C123" s="51">
        <f>'Weekly Profit'!C116</f>
        <v/>
      </c>
      <c r="D123" s="51">
        <f>'Weekly Profit'!D116</f>
        <v/>
      </c>
      <c r="E123" s="7">
        <f>RevenueWk*MAX(0,MIN(1,B123-PayDays/7))</f>
        <v/>
      </c>
      <c r="F123" s="48">
        <f>'Weekly Profit'!H116</f>
        <v/>
      </c>
      <c r="G123" s="48">
        <f>'Weekly Profit'!I116</f>
        <v/>
      </c>
      <c r="H123" s="7">
        <f>E123+F123+G123</f>
        <v/>
      </c>
      <c r="I123" s="7">
        <f>I122+H123</f>
        <v/>
      </c>
      <c r="J123" s="47">
        <f>IF(AND(D123=1,I122&lt;0,I123&gt;=0,H123&gt;0),(B122+(-I122/H123))/4,"")</f>
        <v/>
      </c>
      <c r="K123" s="7">
        <f>IF(D123=1,I123,0)</f>
        <v/>
      </c>
    </row>
    <row r="124">
      <c r="A124" s="1" t="n"/>
      <c r="B124" s="51">
        <f>'Weekly Profit'!B117</f>
        <v/>
      </c>
      <c r="C124" s="51">
        <f>'Weekly Profit'!C117</f>
        <v/>
      </c>
      <c r="D124" s="51">
        <f>'Weekly Profit'!D117</f>
        <v/>
      </c>
      <c r="E124" s="7">
        <f>RevenueWk*MAX(0,MIN(1,B124-PayDays/7))</f>
        <v/>
      </c>
      <c r="F124" s="48">
        <f>'Weekly Profit'!H117</f>
        <v/>
      </c>
      <c r="G124" s="48">
        <f>'Weekly Profit'!I117</f>
        <v/>
      </c>
      <c r="H124" s="7">
        <f>E124+F124+G124</f>
        <v/>
      </c>
      <c r="I124" s="7">
        <f>I123+H124</f>
        <v/>
      </c>
      <c r="J124" s="47">
        <f>IF(AND(D124=1,I123&lt;0,I124&gt;=0,H124&gt;0),(B123+(-I123/H124))/4,"")</f>
        <v/>
      </c>
      <c r="K124" s="7">
        <f>IF(D124=1,I124,0)</f>
        <v/>
      </c>
    </row>
    <row r="125">
      <c r="A125" s="1" t="n"/>
      <c r="B125" s="51">
        <f>'Weekly Profit'!B118</f>
        <v/>
      </c>
      <c r="C125" s="51">
        <f>'Weekly Profit'!C118</f>
        <v/>
      </c>
      <c r="D125" s="51">
        <f>'Weekly Profit'!D118</f>
        <v/>
      </c>
      <c r="E125" s="7">
        <f>RevenueWk*MAX(0,MIN(1,B125-PayDays/7))</f>
        <v/>
      </c>
      <c r="F125" s="48">
        <f>'Weekly Profit'!H118</f>
        <v/>
      </c>
      <c r="G125" s="48">
        <f>'Weekly Profit'!I118</f>
        <v/>
      </c>
      <c r="H125" s="7">
        <f>E125+F125+G125</f>
        <v/>
      </c>
      <c r="I125" s="7">
        <f>I124+H125</f>
        <v/>
      </c>
      <c r="J125" s="47">
        <f>IF(AND(D125=1,I124&lt;0,I125&gt;=0,H125&gt;0),(B124+(-I124/H125))/4,"")</f>
        <v/>
      </c>
      <c r="K125" s="7">
        <f>IF(D125=1,I125,0)</f>
        <v/>
      </c>
    </row>
    <row r="126">
      <c r="A126" s="1" t="n"/>
      <c r="B126" s="51">
        <f>'Weekly Profit'!B119</f>
        <v/>
      </c>
      <c r="C126" s="51">
        <f>'Weekly Profit'!C119</f>
        <v/>
      </c>
      <c r="D126" s="51">
        <f>'Weekly Profit'!D119</f>
        <v/>
      </c>
      <c r="E126" s="7">
        <f>RevenueWk*MAX(0,MIN(1,B126-PayDays/7))</f>
        <v/>
      </c>
      <c r="F126" s="48">
        <f>'Weekly Profit'!H119</f>
        <v/>
      </c>
      <c r="G126" s="48">
        <f>'Weekly Profit'!I119</f>
        <v/>
      </c>
      <c r="H126" s="7">
        <f>E126+F126+G126</f>
        <v/>
      </c>
      <c r="I126" s="7">
        <f>I125+H126</f>
        <v/>
      </c>
      <c r="J126" s="47">
        <f>IF(AND(D126=1,I125&lt;0,I126&gt;=0,H126&gt;0),(B125+(-I125/H126))/4,"")</f>
        <v/>
      </c>
      <c r="K126" s="7">
        <f>IF(D126=1,I126,0)</f>
        <v/>
      </c>
    </row>
    <row r="127">
      <c r="A127" s="1" t="n"/>
      <c r="B127" s="51">
        <f>'Weekly Profit'!B120</f>
        <v/>
      </c>
      <c r="C127" s="51">
        <f>'Weekly Profit'!C120</f>
        <v/>
      </c>
      <c r="D127" s="51">
        <f>'Weekly Profit'!D120</f>
        <v/>
      </c>
      <c r="E127" s="7">
        <f>RevenueWk*MAX(0,MIN(1,B127-PayDays/7))</f>
        <v/>
      </c>
      <c r="F127" s="48">
        <f>'Weekly Profit'!H120</f>
        <v/>
      </c>
      <c r="G127" s="48">
        <f>'Weekly Profit'!I120</f>
        <v/>
      </c>
      <c r="H127" s="7">
        <f>E127+F127+G127</f>
        <v/>
      </c>
      <c r="I127" s="7">
        <f>I126+H127</f>
        <v/>
      </c>
      <c r="J127" s="47">
        <f>IF(AND(D127=1,I126&lt;0,I127&gt;=0,H127&gt;0),(B126+(-I126/H127))/4,"")</f>
        <v/>
      </c>
      <c r="K127" s="7">
        <f>IF(D127=1,I127,0)</f>
        <v/>
      </c>
    </row>
    <row r="128">
      <c r="A128" s="1" t="n"/>
      <c r="B128" s="51">
        <f>'Weekly Profit'!B121</f>
        <v/>
      </c>
      <c r="C128" s="51">
        <f>'Weekly Profit'!C121</f>
        <v/>
      </c>
      <c r="D128" s="51">
        <f>'Weekly Profit'!D121</f>
        <v/>
      </c>
      <c r="E128" s="7">
        <f>RevenueWk*MAX(0,MIN(1,B128-PayDays/7))</f>
        <v/>
      </c>
      <c r="F128" s="48">
        <f>'Weekly Profit'!H121</f>
        <v/>
      </c>
      <c r="G128" s="48">
        <f>'Weekly Profit'!I121</f>
        <v/>
      </c>
      <c r="H128" s="7">
        <f>E128+F128+G128</f>
        <v/>
      </c>
      <c r="I128" s="7">
        <f>I127+H128</f>
        <v/>
      </c>
      <c r="J128" s="47">
        <f>IF(AND(D128=1,I127&lt;0,I128&gt;=0,H128&gt;0),(B127+(-I127/H128))/4,"")</f>
        <v/>
      </c>
      <c r="K128" s="7">
        <f>IF(D128=1,I128,0)</f>
        <v/>
      </c>
    </row>
    <row r="129">
      <c r="A129" s="1" t="n"/>
      <c r="B129" s="51">
        <f>'Weekly Profit'!B122</f>
        <v/>
      </c>
      <c r="C129" s="51">
        <f>'Weekly Profit'!C122</f>
        <v/>
      </c>
      <c r="D129" s="51">
        <f>'Weekly Profit'!D122</f>
        <v/>
      </c>
      <c r="E129" s="7">
        <f>RevenueWk*MAX(0,MIN(1,B129-PayDays/7))</f>
        <v/>
      </c>
      <c r="F129" s="48">
        <f>'Weekly Profit'!H122</f>
        <v/>
      </c>
      <c r="G129" s="48">
        <f>'Weekly Profit'!I122</f>
        <v/>
      </c>
      <c r="H129" s="7">
        <f>E129+F129+G129</f>
        <v/>
      </c>
      <c r="I129" s="7">
        <f>I128+H129</f>
        <v/>
      </c>
      <c r="J129" s="47">
        <f>IF(AND(D129=1,I128&lt;0,I129&gt;=0,H129&gt;0),(B128+(-I128/H129))/4,"")</f>
        <v/>
      </c>
      <c r="K129" s="7">
        <f>IF(D129=1,I129,0)</f>
        <v/>
      </c>
    </row>
    <row r="130">
      <c r="A130" s="1" t="n"/>
      <c r="B130" s="51">
        <f>'Weekly Profit'!B123</f>
        <v/>
      </c>
      <c r="C130" s="51">
        <f>'Weekly Profit'!C123</f>
        <v/>
      </c>
      <c r="D130" s="51">
        <f>'Weekly Profit'!D123</f>
        <v/>
      </c>
      <c r="E130" s="7">
        <f>RevenueWk*MAX(0,MIN(1,B130-PayDays/7))</f>
        <v/>
      </c>
      <c r="F130" s="48">
        <f>'Weekly Profit'!H123</f>
        <v/>
      </c>
      <c r="G130" s="48">
        <f>'Weekly Profit'!I123</f>
        <v/>
      </c>
      <c r="H130" s="7">
        <f>E130+F130+G130</f>
        <v/>
      </c>
      <c r="I130" s="7">
        <f>I129+H130</f>
        <v/>
      </c>
      <c r="J130" s="47">
        <f>IF(AND(D130=1,I129&lt;0,I130&gt;=0,H130&gt;0),(B129+(-I129/H130))/4,"")</f>
        <v/>
      </c>
      <c r="K130" s="7">
        <f>IF(D130=1,I130,0)</f>
        <v/>
      </c>
    </row>
    <row r="131">
      <c r="A131" s="1" t="n"/>
      <c r="B131" s="51">
        <f>'Weekly Profit'!B124</f>
        <v/>
      </c>
      <c r="C131" s="51">
        <f>'Weekly Profit'!C124</f>
        <v/>
      </c>
      <c r="D131" s="51">
        <f>'Weekly Profit'!D124</f>
        <v/>
      </c>
      <c r="E131" s="7">
        <f>RevenueWk*MAX(0,MIN(1,B131-PayDays/7))</f>
        <v/>
      </c>
      <c r="F131" s="48">
        <f>'Weekly Profit'!H124</f>
        <v/>
      </c>
      <c r="G131" s="48">
        <f>'Weekly Profit'!I124</f>
        <v/>
      </c>
      <c r="H131" s="7">
        <f>E131+F131+G131</f>
        <v/>
      </c>
      <c r="I131" s="7">
        <f>I130+H131</f>
        <v/>
      </c>
      <c r="J131" s="47">
        <f>IF(AND(D131=1,I130&lt;0,I131&gt;=0,H131&gt;0),(B130+(-I130/H131))/4,"")</f>
        <v/>
      </c>
      <c r="K131" s="7">
        <f>IF(D131=1,I131,0)</f>
        <v/>
      </c>
    </row>
    <row r="132">
      <c r="A132" s="1" t="n"/>
      <c r="B132" s="51">
        <f>'Weekly Profit'!B125</f>
        <v/>
      </c>
      <c r="C132" s="51">
        <f>'Weekly Profit'!C125</f>
        <v/>
      </c>
      <c r="D132" s="51">
        <f>'Weekly Profit'!D125</f>
        <v/>
      </c>
      <c r="E132" s="7">
        <f>RevenueWk*MAX(0,MIN(1,B132-PayDays/7))</f>
        <v/>
      </c>
      <c r="F132" s="48">
        <f>'Weekly Profit'!H125</f>
        <v/>
      </c>
      <c r="G132" s="48">
        <f>'Weekly Profit'!I125</f>
        <v/>
      </c>
      <c r="H132" s="7">
        <f>E132+F132+G132</f>
        <v/>
      </c>
      <c r="I132" s="7">
        <f>I131+H132</f>
        <v/>
      </c>
      <c r="J132" s="47">
        <f>IF(AND(D132=1,I131&lt;0,I132&gt;=0,H132&gt;0),(B131+(-I131/H132))/4,"")</f>
        <v/>
      </c>
      <c r="K132" s="7">
        <f>IF(D132=1,I132,0)</f>
        <v/>
      </c>
    </row>
    <row r="133">
      <c r="A133" s="1" t="n"/>
      <c r="B133" s="51">
        <f>'Weekly Profit'!B126</f>
        <v/>
      </c>
      <c r="C133" s="51">
        <f>'Weekly Profit'!C126</f>
        <v/>
      </c>
      <c r="D133" s="51">
        <f>'Weekly Profit'!D126</f>
        <v/>
      </c>
      <c r="E133" s="7">
        <f>RevenueWk*MAX(0,MIN(1,B133-PayDays/7))</f>
        <v/>
      </c>
      <c r="F133" s="48">
        <f>'Weekly Profit'!H126</f>
        <v/>
      </c>
      <c r="G133" s="48">
        <f>'Weekly Profit'!I126</f>
        <v/>
      </c>
      <c r="H133" s="7">
        <f>E133+F133+G133</f>
        <v/>
      </c>
      <c r="I133" s="7">
        <f>I132+H133</f>
        <v/>
      </c>
      <c r="J133" s="47">
        <f>IF(AND(D133=1,I132&lt;0,I133&gt;=0,H133&gt;0),(B132+(-I132/H133))/4,"")</f>
        <v/>
      </c>
      <c r="K133" s="7">
        <f>IF(D133=1,I133,0)</f>
        <v/>
      </c>
    </row>
    <row r="134">
      <c r="A134" s="1" t="n"/>
      <c r="B134" s="51">
        <f>'Weekly Profit'!B127</f>
        <v/>
      </c>
      <c r="C134" s="51">
        <f>'Weekly Profit'!C127</f>
        <v/>
      </c>
      <c r="D134" s="51">
        <f>'Weekly Profit'!D127</f>
        <v/>
      </c>
      <c r="E134" s="7">
        <f>RevenueWk*MAX(0,MIN(1,B134-PayDays/7))</f>
        <v/>
      </c>
      <c r="F134" s="48">
        <f>'Weekly Profit'!H127</f>
        <v/>
      </c>
      <c r="G134" s="48">
        <f>'Weekly Profit'!I127</f>
        <v/>
      </c>
      <c r="H134" s="7">
        <f>E134+F134+G134</f>
        <v/>
      </c>
      <c r="I134" s="7">
        <f>I133+H134</f>
        <v/>
      </c>
      <c r="J134" s="47">
        <f>IF(AND(D134=1,I133&lt;0,I134&gt;=0,H134&gt;0),(B133+(-I133/H134))/4,"")</f>
        <v/>
      </c>
      <c r="K134" s="7">
        <f>IF(D134=1,I134,0)</f>
        <v/>
      </c>
    </row>
    <row r="135">
      <c r="A135" s="1" t="n"/>
      <c r="B135" s="51">
        <f>'Weekly Profit'!B128</f>
        <v/>
      </c>
      <c r="C135" s="51">
        <f>'Weekly Profit'!C128</f>
        <v/>
      </c>
      <c r="D135" s="51">
        <f>'Weekly Profit'!D128</f>
        <v/>
      </c>
      <c r="E135" s="7">
        <f>RevenueWk*MAX(0,MIN(1,B135-PayDays/7))</f>
        <v/>
      </c>
      <c r="F135" s="48">
        <f>'Weekly Profit'!H128</f>
        <v/>
      </c>
      <c r="G135" s="48">
        <f>'Weekly Profit'!I128</f>
        <v/>
      </c>
      <c r="H135" s="7">
        <f>E135+F135+G135</f>
        <v/>
      </c>
      <c r="I135" s="7">
        <f>I134+H135</f>
        <v/>
      </c>
      <c r="J135" s="47">
        <f>IF(AND(D135=1,I134&lt;0,I135&gt;=0,H135&gt;0),(B134+(-I134/H135))/4,"")</f>
        <v/>
      </c>
      <c r="K135" s="7">
        <f>IF(D135=1,I135,0)</f>
        <v/>
      </c>
    </row>
    <row r="136">
      <c r="A136" s="1" t="n"/>
      <c r="B136" s="51">
        <f>'Weekly Profit'!B129</f>
        <v/>
      </c>
      <c r="C136" s="51">
        <f>'Weekly Profit'!C129</f>
        <v/>
      </c>
      <c r="D136" s="51">
        <f>'Weekly Profit'!D129</f>
        <v/>
      </c>
      <c r="E136" s="7">
        <f>RevenueWk*MAX(0,MIN(1,B136-PayDays/7))</f>
        <v/>
      </c>
      <c r="F136" s="48">
        <f>'Weekly Profit'!H129</f>
        <v/>
      </c>
      <c r="G136" s="48">
        <f>'Weekly Profit'!I129</f>
        <v/>
      </c>
      <c r="H136" s="7">
        <f>E136+F136+G136</f>
        <v/>
      </c>
      <c r="I136" s="7">
        <f>I135+H136</f>
        <v/>
      </c>
      <c r="J136" s="47">
        <f>IF(AND(D136=1,I135&lt;0,I136&gt;=0,H136&gt;0),(B135+(-I135/H136))/4,"")</f>
        <v/>
      </c>
      <c r="K136" s="7">
        <f>IF(D136=1,I136,0)</f>
        <v/>
      </c>
    </row>
    <row r="137">
      <c r="A137" s="1" t="n"/>
      <c r="B137" s="51">
        <f>'Weekly Profit'!B130</f>
        <v/>
      </c>
      <c r="C137" s="51">
        <f>'Weekly Profit'!C130</f>
        <v/>
      </c>
      <c r="D137" s="51">
        <f>'Weekly Profit'!D130</f>
        <v/>
      </c>
      <c r="E137" s="7">
        <f>RevenueWk*MAX(0,MIN(1,B137-PayDays/7))</f>
        <v/>
      </c>
      <c r="F137" s="48">
        <f>'Weekly Profit'!H130</f>
        <v/>
      </c>
      <c r="G137" s="48">
        <f>'Weekly Profit'!I130</f>
        <v/>
      </c>
      <c r="H137" s="7">
        <f>E137+F137+G137</f>
        <v/>
      </c>
      <c r="I137" s="7">
        <f>I136+H137</f>
        <v/>
      </c>
      <c r="J137" s="47">
        <f>IF(AND(D137=1,I136&lt;0,I137&gt;=0,H137&gt;0),(B136+(-I136/H137))/4,"")</f>
        <v/>
      </c>
      <c r="K137" s="7">
        <f>IF(D137=1,I137,0)</f>
        <v/>
      </c>
    </row>
    <row r="138">
      <c r="A138" s="1" t="n"/>
      <c r="B138" s="51">
        <f>'Weekly Profit'!B131</f>
        <v/>
      </c>
      <c r="C138" s="51">
        <f>'Weekly Profit'!C131</f>
        <v/>
      </c>
      <c r="D138" s="51">
        <f>'Weekly Profit'!D131</f>
        <v/>
      </c>
      <c r="E138" s="7">
        <f>RevenueWk*MAX(0,MIN(1,B138-PayDays/7))</f>
        <v/>
      </c>
      <c r="F138" s="48">
        <f>'Weekly Profit'!H131</f>
        <v/>
      </c>
      <c r="G138" s="48">
        <f>'Weekly Profit'!I131</f>
        <v/>
      </c>
      <c r="H138" s="7">
        <f>E138+F138+G138</f>
        <v/>
      </c>
      <c r="I138" s="7">
        <f>I137+H138</f>
        <v/>
      </c>
      <c r="J138" s="47">
        <f>IF(AND(D138=1,I137&lt;0,I138&gt;=0,H138&gt;0),(B137+(-I137/H138))/4,"")</f>
        <v/>
      </c>
      <c r="K138" s="7">
        <f>IF(D138=1,I138,0)</f>
        <v/>
      </c>
    </row>
    <row r="139">
      <c r="A139" s="1" t="n"/>
      <c r="B139" s="51">
        <f>'Weekly Profit'!B132</f>
        <v/>
      </c>
      <c r="C139" s="51">
        <f>'Weekly Profit'!C132</f>
        <v/>
      </c>
      <c r="D139" s="51">
        <f>'Weekly Profit'!D132</f>
        <v/>
      </c>
      <c r="E139" s="7">
        <f>RevenueWk*MAX(0,MIN(1,B139-PayDays/7))</f>
        <v/>
      </c>
      <c r="F139" s="48">
        <f>'Weekly Profit'!H132</f>
        <v/>
      </c>
      <c r="G139" s="48">
        <f>'Weekly Profit'!I132</f>
        <v/>
      </c>
      <c r="H139" s="7">
        <f>E139+F139+G139</f>
        <v/>
      </c>
      <c r="I139" s="7">
        <f>I138+H139</f>
        <v/>
      </c>
      <c r="J139" s="47">
        <f>IF(AND(D139=1,I138&lt;0,I139&gt;=0,H139&gt;0),(B138+(-I138/H139))/4,"")</f>
        <v/>
      </c>
      <c r="K139" s="7">
        <f>IF(D139=1,I139,0)</f>
        <v/>
      </c>
    </row>
    <row r="140">
      <c r="A140" s="1" t="n"/>
      <c r="B140" s="51">
        <f>'Weekly Profit'!B133</f>
        <v/>
      </c>
      <c r="C140" s="51">
        <f>'Weekly Profit'!C133</f>
        <v/>
      </c>
      <c r="D140" s="51">
        <f>'Weekly Profit'!D133</f>
        <v/>
      </c>
      <c r="E140" s="7">
        <f>RevenueWk*MAX(0,MIN(1,B140-PayDays/7))</f>
        <v/>
      </c>
      <c r="F140" s="48">
        <f>'Weekly Profit'!H133</f>
        <v/>
      </c>
      <c r="G140" s="48">
        <f>'Weekly Profit'!I133</f>
        <v/>
      </c>
      <c r="H140" s="7">
        <f>E140+F140+G140</f>
        <v/>
      </c>
      <c r="I140" s="7">
        <f>I139+H140</f>
        <v/>
      </c>
      <c r="J140" s="47">
        <f>IF(AND(D140=1,I139&lt;0,I140&gt;=0,H140&gt;0),(B139+(-I139/H140))/4,"")</f>
        <v/>
      </c>
      <c r="K140" s="7">
        <f>IF(D140=1,I140,0)</f>
        <v/>
      </c>
    </row>
    <row r="141">
      <c r="A141" s="1" t="n"/>
      <c r="B141" s="51">
        <f>'Weekly Profit'!B134</f>
        <v/>
      </c>
      <c r="C141" s="51">
        <f>'Weekly Profit'!C134</f>
        <v/>
      </c>
      <c r="D141" s="51">
        <f>'Weekly Profit'!D134</f>
        <v/>
      </c>
      <c r="E141" s="7">
        <f>RevenueWk*MAX(0,MIN(1,B141-PayDays/7))</f>
        <v/>
      </c>
      <c r="F141" s="48">
        <f>'Weekly Profit'!H134</f>
        <v/>
      </c>
      <c r="G141" s="48">
        <f>'Weekly Profit'!I134</f>
        <v/>
      </c>
      <c r="H141" s="7">
        <f>E141+F141+G141</f>
        <v/>
      </c>
      <c r="I141" s="7">
        <f>I140+H141</f>
        <v/>
      </c>
      <c r="J141" s="47">
        <f>IF(AND(D141=1,I140&lt;0,I141&gt;=0,H141&gt;0),(B140+(-I140/H141))/4,"")</f>
        <v/>
      </c>
      <c r="K141" s="7">
        <f>IF(D141=1,I141,0)</f>
        <v/>
      </c>
    </row>
    <row r="142">
      <c r="A142" s="1" t="n"/>
      <c r="B142" s="51">
        <f>'Weekly Profit'!B135</f>
        <v/>
      </c>
      <c r="C142" s="51">
        <f>'Weekly Profit'!C135</f>
        <v/>
      </c>
      <c r="D142" s="51">
        <f>'Weekly Profit'!D135</f>
        <v/>
      </c>
      <c r="E142" s="7">
        <f>RevenueWk*MAX(0,MIN(1,B142-PayDays/7))</f>
        <v/>
      </c>
      <c r="F142" s="48">
        <f>'Weekly Profit'!H135</f>
        <v/>
      </c>
      <c r="G142" s="48">
        <f>'Weekly Profit'!I135</f>
        <v/>
      </c>
      <c r="H142" s="7">
        <f>E142+F142+G142</f>
        <v/>
      </c>
      <c r="I142" s="7">
        <f>I141+H142</f>
        <v/>
      </c>
      <c r="J142" s="47">
        <f>IF(AND(D142=1,I141&lt;0,I142&gt;=0,H142&gt;0),(B141+(-I141/H142))/4,"")</f>
        <v/>
      </c>
      <c r="K142" s="7">
        <f>IF(D142=1,I142,0)</f>
        <v/>
      </c>
    </row>
    <row r="143">
      <c r="A143" s="1" t="n"/>
      <c r="B143" s="51">
        <f>'Weekly Profit'!B136</f>
        <v/>
      </c>
      <c r="C143" s="51">
        <f>'Weekly Profit'!C136</f>
        <v/>
      </c>
      <c r="D143" s="51">
        <f>'Weekly Profit'!D136</f>
        <v/>
      </c>
      <c r="E143" s="7">
        <f>RevenueWk*MAX(0,MIN(1,B143-PayDays/7))</f>
        <v/>
      </c>
      <c r="F143" s="48">
        <f>'Weekly Profit'!H136</f>
        <v/>
      </c>
      <c r="G143" s="48">
        <f>'Weekly Profit'!I136</f>
        <v/>
      </c>
      <c r="H143" s="7">
        <f>E143+F143+G143</f>
        <v/>
      </c>
      <c r="I143" s="7">
        <f>I142+H143</f>
        <v/>
      </c>
      <c r="J143" s="47">
        <f>IF(AND(D143=1,I142&lt;0,I143&gt;=0,H143&gt;0),(B142+(-I142/H143))/4,"")</f>
        <v/>
      </c>
      <c r="K143" s="7">
        <f>IF(D143=1,I143,0)</f>
        <v/>
      </c>
    </row>
    <row r="144">
      <c r="A144" s="1" t="n"/>
      <c r="B144" s="51">
        <f>'Weekly Profit'!B137</f>
        <v/>
      </c>
      <c r="C144" s="51">
        <f>'Weekly Profit'!C137</f>
        <v/>
      </c>
      <c r="D144" s="51">
        <f>'Weekly Profit'!D137</f>
        <v/>
      </c>
      <c r="E144" s="7">
        <f>RevenueWk*MAX(0,MIN(1,B144-PayDays/7))</f>
        <v/>
      </c>
      <c r="F144" s="48">
        <f>'Weekly Profit'!H137</f>
        <v/>
      </c>
      <c r="G144" s="48">
        <f>'Weekly Profit'!I137</f>
        <v/>
      </c>
      <c r="H144" s="7">
        <f>E144+F144+G144</f>
        <v/>
      </c>
      <c r="I144" s="7">
        <f>I143+H144</f>
        <v/>
      </c>
      <c r="J144" s="47">
        <f>IF(AND(D144=1,I143&lt;0,I144&gt;=0,H144&gt;0),(B143+(-I143/H144))/4,"")</f>
        <v/>
      </c>
      <c r="K144" s="7">
        <f>IF(D144=1,I144,0)</f>
        <v/>
      </c>
    </row>
    <row r="145">
      <c r="A145" s="1" t="n"/>
      <c r="B145" s="51">
        <f>'Weekly Profit'!B138</f>
        <v/>
      </c>
      <c r="C145" s="51">
        <f>'Weekly Profit'!C138</f>
        <v/>
      </c>
      <c r="D145" s="51">
        <f>'Weekly Profit'!D138</f>
        <v/>
      </c>
      <c r="E145" s="7">
        <f>RevenueWk*MAX(0,MIN(1,B145-PayDays/7))</f>
        <v/>
      </c>
      <c r="F145" s="48">
        <f>'Weekly Profit'!H138</f>
        <v/>
      </c>
      <c r="G145" s="48">
        <f>'Weekly Profit'!I138</f>
        <v/>
      </c>
      <c r="H145" s="7">
        <f>E145+F145+G145</f>
        <v/>
      </c>
      <c r="I145" s="7">
        <f>I144+H145</f>
        <v/>
      </c>
      <c r="J145" s="47">
        <f>IF(AND(D145=1,I144&lt;0,I145&gt;=0,H145&gt;0),(B144+(-I144/H145))/4,"")</f>
        <v/>
      </c>
      <c r="K145" s="7">
        <f>IF(D145=1,I145,0)</f>
        <v/>
      </c>
    </row>
    <row r="146">
      <c r="A146" s="1" t="n"/>
      <c r="B146" s="51">
        <f>'Weekly Profit'!B139</f>
        <v/>
      </c>
      <c r="C146" s="51">
        <f>'Weekly Profit'!C139</f>
        <v/>
      </c>
      <c r="D146" s="51">
        <f>'Weekly Profit'!D139</f>
        <v/>
      </c>
      <c r="E146" s="7">
        <f>RevenueWk*MAX(0,MIN(1,B146-PayDays/7))</f>
        <v/>
      </c>
      <c r="F146" s="48">
        <f>'Weekly Profit'!H139</f>
        <v/>
      </c>
      <c r="G146" s="48">
        <f>'Weekly Profit'!I139</f>
        <v/>
      </c>
      <c r="H146" s="7">
        <f>E146+F146+G146</f>
        <v/>
      </c>
      <c r="I146" s="7">
        <f>I145+H146</f>
        <v/>
      </c>
      <c r="J146" s="47">
        <f>IF(AND(D146=1,I145&lt;0,I146&gt;=0,H146&gt;0),(B145+(-I145/H146))/4,"")</f>
        <v/>
      </c>
      <c r="K146" s="7">
        <f>IF(D146=1,I146,0)</f>
        <v/>
      </c>
    </row>
    <row r="147">
      <c r="A147" s="1" t="n"/>
      <c r="B147" s="51">
        <f>'Weekly Profit'!B140</f>
        <v/>
      </c>
      <c r="C147" s="51">
        <f>'Weekly Profit'!C140</f>
        <v/>
      </c>
      <c r="D147" s="51">
        <f>'Weekly Profit'!D140</f>
        <v/>
      </c>
      <c r="E147" s="7">
        <f>RevenueWk*MAX(0,MIN(1,B147-PayDays/7))</f>
        <v/>
      </c>
      <c r="F147" s="48">
        <f>'Weekly Profit'!H140</f>
        <v/>
      </c>
      <c r="G147" s="48">
        <f>'Weekly Profit'!I140</f>
        <v/>
      </c>
      <c r="H147" s="7">
        <f>E147+F147+G147</f>
        <v/>
      </c>
      <c r="I147" s="7">
        <f>I146+H147</f>
        <v/>
      </c>
      <c r="J147" s="47">
        <f>IF(AND(D147=1,I146&lt;0,I147&gt;=0,H147&gt;0),(B146+(-I146/H147))/4,"")</f>
        <v/>
      </c>
      <c r="K147" s="7">
        <f>IF(D147=1,I147,0)</f>
        <v/>
      </c>
    </row>
    <row r="148">
      <c r="A148" s="1" t="n"/>
      <c r="B148" s="51">
        <f>'Weekly Profit'!B141</f>
        <v/>
      </c>
      <c r="C148" s="51">
        <f>'Weekly Profit'!C141</f>
        <v/>
      </c>
      <c r="D148" s="51">
        <f>'Weekly Profit'!D141</f>
        <v/>
      </c>
      <c r="E148" s="7">
        <f>RevenueWk*MAX(0,MIN(1,B148-PayDays/7))</f>
        <v/>
      </c>
      <c r="F148" s="48">
        <f>'Weekly Profit'!H141</f>
        <v/>
      </c>
      <c r="G148" s="48">
        <f>'Weekly Profit'!I141</f>
        <v/>
      </c>
      <c r="H148" s="7">
        <f>E148+F148+G148</f>
        <v/>
      </c>
      <c r="I148" s="7">
        <f>I147+H148</f>
        <v/>
      </c>
      <c r="J148" s="47">
        <f>IF(AND(D148=1,I147&lt;0,I148&gt;=0,H148&gt;0),(B147+(-I147/H148))/4,"")</f>
        <v/>
      </c>
      <c r="K148" s="7">
        <f>IF(D148=1,I148,0)</f>
        <v/>
      </c>
    </row>
    <row r="149">
      <c r="A149" s="1" t="n"/>
      <c r="B149" s="51">
        <f>'Weekly Profit'!B142</f>
        <v/>
      </c>
      <c r="C149" s="51">
        <f>'Weekly Profit'!C142</f>
        <v/>
      </c>
      <c r="D149" s="51">
        <f>'Weekly Profit'!D142</f>
        <v/>
      </c>
      <c r="E149" s="7">
        <f>RevenueWk*MAX(0,MIN(1,B149-PayDays/7))</f>
        <v/>
      </c>
      <c r="F149" s="48">
        <f>'Weekly Profit'!H142</f>
        <v/>
      </c>
      <c r="G149" s="48">
        <f>'Weekly Profit'!I142</f>
        <v/>
      </c>
      <c r="H149" s="7">
        <f>E149+F149+G149</f>
        <v/>
      </c>
      <c r="I149" s="7">
        <f>I148+H149</f>
        <v/>
      </c>
      <c r="J149" s="47">
        <f>IF(AND(D149=1,I148&lt;0,I149&gt;=0,H149&gt;0),(B148+(-I148/H149))/4,"")</f>
        <v/>
      </c>
      <c r="K149" s="7">
        <f>IF(D149=1,I149,0)</f>
        <v/>
      </c>
    </row>
    <row r="150">
      <c r="A150" s="1" t="n"/>
      <c r="B150" s="51">
        <f>'Weekly Profit'!B143</f>
        <v/>
      </c>
      <c r="C150" s="51">
        <f>'Weekly Profit'!C143</f>
        <v/>
      </c>
      <c r="D150" s="51">
        <f>'Weekly Profit'!D143</f>
        <v/>
      </c>
      <c r="E150" s="7">
        <f>RevenueWk*MAX(0,MIN(1,B150-PayDays/7))</f>
        <v/>
      </c>
      <c r="F150" s="48">
        <f>'Weekly Profit'!H143</f>
        <v/>
      </c>
      <c r="G150" s="48">
        <f>'Weekly Profit'!I143</f>
        <v/>
      </c>
      <c r="H150" s="7">
        <f>E150+F150+G150</f>
        <v/>
      </c>
      <c r="I150" s="7">
        <f>I149+H150</f>
        <v/>
      </c>
      <c r="J150" s="47">
        <f>IF(AND(D150=1,I149&lt;0,I150&gt;=0,H150&gt;0),(B149+(-I149/H150))/4,"")</f>
        <v/>
      </c>
      <c r="K150" s="7">
        <f>IF(D150=1,I150,0)</f>
        <v/>
      </c>
    </row>
    <row r="151">
      <c r="A151" s="1" t="n"/>
      <c r="B151" s="51">
        <f>'Weekly Profit'!B144</f>
        <v/>
      </c>
      <c r="C151" s="51">
        <f>'Weekly Profit'!C144</f>
        <v/>
      </c>
      <c r="D151" s="51">
        <f>'Weekly Profit'!D144</f>
        <v/>
      </c>
      <c r="E151" s="7">
        <f>RevenueWk*MAX(0,MIN(1,B151-PayDays/7))</f>
        <v/>
      </c>
      <c r="F151" s="48">
        <f>'Weekly Profit'!H144</f>
        <v/>
      </c>
      <c r="G151" s="48">
        <f>'Weekly Profit'!I144</f>
        <v/>
      </c>
      <c r="H151" s="7">
        <f>E151+F151+G151</f>
        <v/>
      </c>
      <c r="I151" s="7">
        <f>I150+H151</f>
        <v/>
      </c>
      <c r="J151" s="47">
        <f>IF(AND(D151=1,I150&lt;0,I151&gt;=0,H151&gt;0),(B150+(-I150/H151))/4,"")</f>
        <v/>
      </c>
      <c r="K151" s="7">
        <f>IF(D151=1,I151,0)</f>
        <v/>
      </c>
    </row>
    <row r="152">
      <c r="A152" s="1" t="n"/>
      <c r="B152" s="51">
        <f>'Weekly Profit'!B145</f>
        <v/>
      </c>
      <c r="C152" s="51">
        <f>'Weekly Profit'!C145</f>
        <v/>
      </c>
      <c r="D152" s="51">
        <f>'Weekly Profit'!D145</f>
        <v/>
      </c>
      <c r="E152" s="7">
        <f>RevenueWk*MAX(0,MIN(1,B152-PayDays/7))</f>
        <v/>
      </c>
      <c r="F152" s="48">
        <f>'Weekly Profit'!H145</f>
        <v/>
      </c>
      <c r="G152" s="48">
        <f>'Weekly Profit'!I145</f>
        <v/>
      </c>
      <c r="H152" s="7">
        <f>E152+F152+G152</f>
        <v/>
      </c>
      <c r="I152" s="7">
        <f>I151+H152</f>
        <v/>
      </c>
      <c r="J152" s="47">
        <f>IF(AND(D152=1,I151&lt;0,I152&gt;=0,H152&gt;0),(B151+(-I151/H152))/4,"")</f>
        <v/>
      </c>
      <c r="K152" s="7">
        <f>IF(D152=1,I152,0)</f>
        <v/>
      </c>
    </row>
    <row r="153">
      <c r="A153" s="1" t="n"/>
      <c r="B153" s="51">
        <f>'Weekly Profit'!B146</f>
        <v/>
      </c>
      <c r="C153" s="51">
        <f>'Weekly Profit'!C146</f>
        <v/>
      </c>
      <c r="D153" s="51">
        <f>'Weekly Profit'!D146</f>
        <v/>
      </c>
      <c r="E153" s="7">
        <f>RevenueWk*MAX(0,MIN(1,B153-PayDays/7))</f>
        <v/>
      </c>
      <c r="F153" s="48">
        <f>'Weekly Profit'!H146</f>
        <v/>
      </c>
      <c r="G153" s="48">
        <f>'Weekly Profit'!I146</f>
        <v/>
      </c>
      <c r="H153" s="7">
        <f>E153+F153+G153</f>
        <v/>
      </c>
      <c r="I153" s="7">
        <f>I152+H153</f>
        <v/>
      </c>
      <c r="J153" s="47">
        <f>IF(AND(D153=1,I152&lt;0,I153&gt;=0,H153&gt;0),(B152+(-I152/H153))/4,"")</f>
        <v/>
      </c>
      <c r="K153" s="7">
        <f>IF(D153=1,I153,0)</f>
        <v/>
      </c>
    </row>
    <row r="154">
      <c r="A154" s="1" t="n"/>
      <c r="B154" s="51">
        <f>'Weekly Profit'!B147</f>
        <v/>
      </c>
      <c r="C154" s="51">
        <f>'Weekly Profit'!C147</f>
        <v/>
      </c>
      <c r="D154" s="51">
        <f>'Weekly Profit'!D147</f>
        <v/>
      </c>
      <c r="E154" s="7">
        <f>RevenueWk*MAX(0,MIN(1,B154-PayDays/7))</f>
        <v/>
      </c>
      <c r="F154" s="48">
        <f>'Weekly Profit'!H147</f>
        <v/>
      </c>
      <c r="G154" s="48">
        <f>'Weekly Profit'!I147</f>
        <v/>
      </c>
      <c r="H154" s="7">
        <f>E154+F154+G154</f>
        <v/>
      </c>
      <c r="I154" s="7">
        <f>I153+H154</f>
        <v/>
      </c>
      <c r="J154" s="47">
        <f>IF(AND(D154=1,I153&lt;0,I154&gt;=0,H154&gt;0),(B153+(-I153/H154))/4,"")</f>
        <v/>
      </c>
      <c r="K154" s="7">
        <f>IF(D154=1,I154,0)</f>
        <v/>
      </c>
    </row>
    <row r="155">
      <c r="A155" s="1" t="n"/>
      <c r="B155" s="51">
        <f>'Weekly Profit'!B148</f>
        <v/>
      </c>
      <c r="C155" s="51">
        <f>'Weekly Profit'!C148</f>
        <v/>
      </c>
      <c r="D155" s="51">
        <f>'Weekly Profit'!D148</f>
        <v/>
      </c>
      <c r="E155" s="7">
        <f>RevenueWk*MAX(0,MIN(1,B155-PayDays/7))</f>
        <v/>
      </c>
      <c r="F155" s="48">
        <f>'Weekly Profit'!H148</f>
        <v/>
      </c>
      <c r="G155" s="48">
        <f>'Weekly Profit'!I148</f>
        <v/>
      </c>
      <c r="H155" s="7">
        <f>E155+F155+G155</f>
        <v/>
      </c>
      <c r="I155" s="7">
        <f>I154+H155</f>
        <v/>
      </c>
      <c r="J155" s="47">
        <f>IF(AND(D155=1,I154&lt;0,I155&gt;=0,H155&gt;0),(B154+(-I154/H155))/4,"")</f>
        <v/>
      </c>
      <c r="K155" s="7">
        <f>IF(D155=1,I155,0)</f>
        <v/>
      </c>
    </row>
    <row r="156">
      <c r="A156" s="1" t="n"/>
      <c r="B156" s="51">
        <f>'Weekly Profit'!B149</f>
        <v/>
      </c>
      <c r="C156" s="51">
        <f>'Weekly Profit'!C149</f>
        <v/>
      </c>
      <c r="D156" s="51">
        <f>'Weekly Profit'!D149</f>
        <v/>
      </c>
      <c r="E156" s="7">
        <f>RevenueWk*MAX(0,MIN(1,B156-PayDays/7))</f>
        <v/>
      </c>
      <c r="F156" s="48">
        <f>'Weekly Profit'!H149</f>
        <v/>
      </c>
      <c r="G156" s="48">
        <f>'Weekly Profit'!I149</f>
        <v/>
      </c>
      <c r="H156" s="7">
        <f>E156+F156+G156</f>
        <v/>
      </c>
      <c r="I156" s="7">
        <f>I155+H156</f>
        <v/>
      </c>
      <c r="J156" s="47">
        <f>IF(AND(D156=1,I155&lt;0,I156&gt;=0,H156&gt;0),(B155+(-I155/H156))/4,"")</f>
        <v/>
      </c>
      <c r="K156" s="7">
        <f>IF(D156=1,I156,0)</f>
        <v/>
      </c>
    </row>
    <row r="157">
      <c r="A157" s="1" t="n"/>
      <c r="B157" s="51">
        <f>'Weekly Profit'!B150</f>
        <v/>
      </c>
      <c r="C157" s="51">
        <f>'Weekly Profit'!C150</f>
        <v/>
      </c>
      <c r="D157" s="51">
        <f>'Weekly Profit'!D150</f>
        <v/>
      </c>
      <c r="E157" s="7">
        <f>RevenueWk*MAX(0,MIN(1,B157-PayDays/7))</f>
        <v/>
      </c>
      <c r="F157" s="48">
        <f>'Weekly Profit'!H150</f>
        <v/>
      </c>
      <c r="G157" s="48">
        <f>'Weekly Profit'!I150</f>
        <v/>
      </c>
      <c r="H157" s="7">
        <f>E157+F157+G157</f>
        <v/>
      </c>
      <c r="I157" s="7">
        <f>I156+H157</f>
        <v/>
      </c>
      <c r="J157" s="47">
        <f>IF(AND(D157=1,I156&lt;0,I157&gt;=0,H157&gt;0),(B156+(-I156/H157))/4,"")</f>
        <v/>
      </c>
      <c r="K157" s="7">
        <f>IF(D157=1,I157,0)</f>
        <v/>
      </c>
    </row>
    <row r="158">
      <c r="A158" s="1" t="n"/>
      <c r="B158" s="51">
        <f>'Weekly Profit'!B151</f>
        <v/>
      </c>
      <c r="C158" s="51">
        <f>'Weekly Profit'!C151</f>
        <v/>
      </c>
      <c r="D158" s="51">
        <f>'Weekly Profit'!D151</f>
        <v/>
      </c>
      <c r="E158" s="7">
        <f>RevenueWk*MAX(0,MIN(1,B158-PayDays/7))</f>
        <v/>
      </c>
      <c r="F158" s="48">
        <f>'Weekly Profit'!H151</f>
        <v/>
      </c>
      <c r="G158" s="48">
        <f>'Weekly Profit'!I151</f>
        <v/>
      </c>
      <c r="H158" s="7">
        <f>E158+F158+G158</f>
        <v/>
      </c>
      <c r="I158" s="7">
        <f>I157+H158</f>
        <v/>
      </c>
      <c r="J158" s="47">
        <f>IF(AND(D158=1,I157&lt;0,I158&gt;=0,H158&gt;0),(B157+(-I157/H158))/4,"")</f>
        <v/>
      </c>
      <c r="K158" s="7">
        <f>IF(D158=1,I158,0)</f>
        <v/>
      </c>
    </row>
    <row r="159">
      <c r="A159" s="1" t="n"/>
      <c r="B159" s="51">
        <f>'Weekly Profit'!B152</f>
        <v/>
      </c>
      <c r="C159" s="51">
        <f>'Weekly Profit'!C152</f>
        <v/>
      </c>
      <c r="D159" s="51">
        <f>'Weekly Profit'!D152</f>
        <v/>
      </c>
      <c r="E159" s="7">
        <f>RevenueWk*MAX(0,MIN(1,B159-PayDays/7))</f>
        <v/>
      </c>
      <c r="F159" s="48">
        <f>'Weekly Profit'!H152</f>
        <v/>
      </c>
      <c r="G159" s="48">
        <f>'Weekly Profit'!I152</f>
        <v/>
      </c>
      <c r="H159" s="7">
        <f>E159+F159+G159</f>
        <v/>
      </c>
      <c r="I159" s="7">
        <f>I158+H159</f>
        <v/>
      </c>
      <c r="J159" s="47">
        <f>IF(AND(D159=1,I158&lt;0,I159&gt;=0,H159&gt;0),(B158+(-I158/H159))/4,"")</f>
        <v/>
      </c>
      <c r="K159" s="7">
        <f>IF(D159=1,I159,0)</f>
        <v/>
      </c>
    </row>
    <row r="160">
      <c r="A160" s="1" t="n"/>
      <c r="B160" s="51">
        <f>'Weekly Profit'!B153</f>
        <v/>
      </c>
      <c r="C160" s="51">
        <f>'Weekly Profit'!C153</f>
        <v/>
      </c>
      <c r="D160" s="51">
        <f>'Weekly Profit'!D153</f>
        <v/>
      </c>
      <c r="E160" s="7">
        <f>RevenueWk*MAX(0,MIN(1,B160-PayDays/7))</f>
        <v/>
      </c>
      <c r="F160" s="48">
        <f>'Weekly Profit'!H153</f>
        <v/>
      </c>
      <c r="G160" s="48">
        <f>'Weekly Profit'!I153</f>
        <v/>
      </c>
      <c r="H160" s="7">
        <f>E160+F160+G160</f>
        <v/>
      </c>
      <c r="I160" s="7">
        <f>I159+H160</f>
        <v/>
      </c>
      <c r="J160" s="47">
        <f>IF(AND(D160=1,I159&lt;0,I160&gt;=0,H160&gt;0),(B159+(-I159/H160))/4,"")</f>
        <v/>
      </c>
      <c r="K160" s="7">
        <f>IF(D160=1,I160,0)</f>
        <v/>
      </c>
    </row>
    <row r="161">
      <c r="A161" s="1" t="n"/>
      <c r="B161" s="51">
        <f>'Weekly Profit'!B154</f>
        <v/>
      </c>
      <c r="C161" s="51">
        <f>'Weekly Profit'!C154</f>
        <v/>
      </c>
      <c r="D161" s="51">
        <f>'Weekly Profit'!D154</f>
        <v/>
      </c>
      <c r="E161" s="7">
        <f>RevenueWk*MAX(0,MIN(1,B161-PayDays/7))</f>
        <v/>
      </c>
      <c r="F161" s="48">
        <f>'Weekly Profit'!H154</f>
        <v/>
      </c>
      <c r="G161" s="48">
        <f>'Weekly Profit'!I154</f>
        <v/>
      </c>
      <c r="H161" s="7">
        <f>E161+F161+G161</f>
        <v/>
      </c>
      <c r="I161" s="7">
        <f>I160+H161</f>
        <v/>
      </c>
      <c r="J161" s="47">
        <f>IF(AND(D161=1,I160&lt;0,I161&gt;=0,H161&gt;0),(B160+(-I160/H161))/4,"")</f>
        <v/>
      </c>
      <c r="K161" s="7">
        <f>IF(D161=1,I161,0)</f>
        <v/>
      </c>
    </row>
    <row r="162">
      <c r="A162" s="1" t="n"/>
      <c r="B162" s="51">
        <f>'Weekly Profit'!B155</f>
        <v/>
      </c>
      <c r="C162" s="51">
        <f>'Weekly Profit'!C155</f>
        <v/>
      </c>
      <c r="D162" s="51">
        <f>'Weekly Profit'!D155</f>
        <v/>
      </c>
      <c r="E162" s="7">
        <f>RevenueWk*MAX(0,MIN(1,B162-PayDays/7))</f>
        <v/>
      </c>
      <c r="F162" s="48">
        <f>'Weekly Profit'!H155</f>
        <v/>
      </c>
      <c r="G162" s="48">
        <f>'Weekly Profit'!I155</f>
        <v/>
      </c>
      <c r="H162" s="7">
        <f>E162+F162+G162</f>
        <v/>
      </c>
      <c r="I162" s="7">
        <f>I161+H162</f>
        <v/>
      </c>
      <c r="J162" s="47">
        <f>IF(AND(D162=1,I161&lt;0,I162&gt;=0,H162&gt;0),(B161+(-I161/H162))/4,"")</f>
        <v/>
      </c>
      <c r="K162" s="7">
        <f>IF(D162=1,I162,0)</f>
        <v/>
      </c>
    </row>
    <row r="163">
      <c r="A163" s="1" t="n"/>
      <c r="B163" s="51">
        <f>'Weekly Profit'!B156</f>
        <v/>
      </c>
      <c r="C163" s="51">
        <f>'Weekly Profit'!C156</f>
        <v/>
      </c>
      <c r="D163" s="51">
        <f>'Weekly Profit'!D156</f>
        <v/>
      </c>
      <c r="E163" s="7">
        <f>RevenueWk*MAX(0,MIN(1,B163-PayDays/7))</f>
        <v/>
      </c>
      <c r="F163" s="48">
        <f>'Weekly Profit'!H156</f>
        <v/>
      </c>
      <c r="G163" s="48">
        <f>'Weekly Profit'!I156</f>
        <v/>
      </c>
      <c r="H163" s="7">
        <f>E163+F163+G163</f>
        <v/>
      </c>
      <c r="I163" s="7">
        <f>I162+H163</f>
        <v/>
      </c>
      <c r="J163" s="47">
        <f>IF(AND(D163=1,I162&lt;0,I163&gt;=0,H163&gt;0),(B162+(-I162/H163))/4,"")</f>
        <v/>
      </c>
      <c r="K163" s="7">
        <f>IF(D163=1,I163,0)</f>
        <v/>
      </c>
    </row>
    <row r="164">
      <c r="A164" s="1" t="n"/>
      <c r="B164" s="51">
        <f>'Weekly Profit'!B157</f>
        <v/>
      </c>
      <c r="C164" s="51">
        <f>'Weekly Profit'!C157</f>
        <v/>
      </c>
      <c r="D164" s="51">
        <f>'Weekly Profit'!D157</f>
        <v/>
      </c>
      <c r="E164" s="7">
        <f>RevenueWk*MAX(0,MIN(1,B164-PayDays/7))</f>
        <v/>
      </c>
      <c r="F164" s="48">
        <f>'Weekly Profit'!H157</f>
        <v/>
      </c>
      <c r="G164" s="48">
        <f>'Weekly Profit'!I157</f>
        <v/>
      </c>
      <c r="H164" s="7">
        <f>E164+F164+G164</f>
        <v/>
      </c>
      <c r="I164" s="7">
        <f>I163+H164</f>
        <v/>
      </c>
      <c r="J164" s="47">
        <f>IF(AND(D164=1,I163&lt;0,I164&gt;=0,H164&gt;0),(B163+(-I163/H164))/4,"")</f>
        <v/>
      </c>
      <c r="K164" s="7">
        <f>IF(D164=1,I164,0)</f>
        <v/>
      </c>
    </row>
    <row r="165">
      <c r="A165" s="1" t="n"/>
      <c r="B165" s="51">
        <f>'Weekly Profit'!B158</f>
        <v/>
      </c>
      <c r="C165" s="51">
        <f>'Weekly Profit'!C158</f>
        <v/>
      </c>
      <c r="D165" s="51">
        <f>'Weekly Profit'!D158</f>
        <v/>
      </c>
      <c r="E165" s="7">
        <f>RevenueWk*MAX(0,MIN(1,B165-PayDays/7))</f>
        <v/>
      </c>
      <c r="F165" s="48">
        <f>'Weekly Profit'!H158</f>
        <v/>
      </c>
      <c r="G165" s="48">
        <f>'Weekly Profit'!I158</f>
        <v/>
      </c>
      <c r="H165" s="7">
        <f>E165+F165+G165</f>
        <v/>
      </c>
      <c r="I165" s="7">
        <f>I164+H165</f>
        <v/>
      </c>
      <c r="J165" s="47">
        <f>IF(AND(D165=1,I164&lt;0,I165&gt;=0,H165&gt;0),(B164+(-I164/H165))/4,"")</f>
        <v/>
      </c>
      <c r="K165" s="7">
        <f>IF(D165=1,I165,0)</f>
        <v/>
      </c>
    </row>
    <row r="166">
      <c r="A166" s="1" t="n"/>
      <c r="B166" s="51">
        <f>'Weekly Profit'!B159</f>
        <v/>
      </c>
      <c r="C166" s="51">
        <f>'Weekly Profit'!C159</f>
        <v/>
      </c>
      <c r="D166" s="51">
        <f>'Weekly Profit'!D159</f>
        <v/>
      </c>
      <c r="E166" s="7">
        <f>RevenueWk*MAX(0,MIN(1,B166-PayDays/7))</f>
        <v/>
      </c>
      <c r="F166" s="48">
        <f>'Weekly Profit'!H159</f>
        <v/>
      </c>
      <c r="G166" s="48">
        <f>'Weekly Profit'!I159</f>
        <v/>
      </c>
      <c r="H166" s="7">
        <f>E166+F166+G166</f>
        <v/>
      </c>
      <c r="I166" s="7">
        <f>I165+H166</f>
        <v/>
      </c>
      <c r="J166" s="47">
        <f>IF(AND(D166=1,I165&lt;0,I166&gt;=0,H166&gt;0),(B165+(-I165/H166))/4,"")</f>
        <v/>
      </c>
      <c r="K166" s="7">
        <f>IF(D166=1,I166,0)</f>
        <v/>
      </c>
    </row>
    <row r="167">
      <c r="A167" s="1" t="n"/>
      <c r="B167" s="51">
        <f>'Weekly Profit'!B160</f>
        <v/>
      </c>
      <c r="C167" s="51">
        <f>'Weekly Profit'!C160</f>
        <v/>
      </c>
      <c r="D167" s="51">
        <f>'Weekly Profit'!D160</f>
        <v/>
      </c>
      <c r="E167" s="7">
        <f>RevenueWk*MAX(0,MIN(1,B167-PayDays/7))</f>
        <v/>
      </c>
      <c r="F167" s="48">
        <f>'Weekly Profit'!H160</f>
        <v/>
      </c>
      <c r="G167" s="48">
        <f>'Weekly Profit'!I160</f>
        <v/>
      </c>
      <c r="H167" s="7">
        <f>E167+F167+G167</f>
        <v/>
      </c>
      <c r="I167" s="7">
        <f>I166+H167</f>
        <v/>
      </c>
      <c r="J167" s="47">
        <f>IF(AND(D167=1,I166&lt;0,I167&gt;=0,H167&gt;0),(B166+(-I166/H167))/4,"")</f>
        <v/>
      </c>
      <c r="K167" s="7">
        <f>IF(D167=1,I167,0)</f>
        <v/>
      </c>
    </row>
    <row r="168">
      <c r="A168" s="1" t="n"/>
      <c r="B168" s="51">
        <f>'Weekly Profit'!B161</f>
        <v/>
      </c>
      <c r="C168" s="51">
        <f>'Weekly Profit'!C161</f>
        <v/>
      </c>
      <c r="D168" s="51">
        <f>'Weekly Profit'!D161</f>
        <v/>
      </c>
      <c r="E168" s="7">
        <f>RevenueWk*MAX(0,MIN(1,B168-PayDays/7))</f>
        <v/>
      </c>
      <c r="F168" s="48">
        <f>'Weekly Profit'!H161</f>
        <v/>
      </c>
      <c r="G168" s="48">
        <f>'Weekly Profit'!I161</f>
        <v/>
      </c>
      <c r="H168" s="7">
        <f>E168+F168+G168</f>
        <v/>
      </c>
      <c r="I168" s="7">
        <f>I167+H168</f>
        <v/>
      </c>
      <c r="J168" s="47">
        <f>IF(AND(D168=1,I167&lt;0,I168&gt;=0,H168&gt;0),(B167+(-I167/H168))/4,"")</f>
        <v/>
      </c>
      <c r="K168" s="7">
        <f>IF(D168=1,I168,0)</f>
        <v/>
      </c>
    </row>
    <row r="169">
      <c r="A169" s="1" t="n"/>
      <c r="B169" s="51">
        <f>'Weekly Profit'!B162</f>
        <v/>
      </c>
      <c r="C169" s="51">
        <f>'Weekly Profit'!C162</f>
        <v/>
      </c>
      <c r="D169" s="51">
        <f>'Weekly Profit'!D162</f>
        <v/>
      </c>
      <c r="E169" s="7">
        <f>RevenueWk*MAX(0,MIN(1,B169-PayDays/7))</f>
        <v/>
      </c>
      <c r="F169" s="48">
        <f>'Weekly Profit'!H162</f>
        <v/>
      </c>
      <c r="G169" s="48">
        <f>'Weekly Profit'!I162</f>
        <v/>
      </c>
      <c r="H169" s="7">
        <f>E169+F169+G169</f>
        <v/>
      </c>
      <c r="I169" s="7">
        <f>I168+H169</f>
        <v/>
      </c>
      <c r="J169" s="47">
        <f>IF(AND(D169=1,I168&lt;0,I169&gt;=0,H169&gt;0),(B168+(-I168/H169))/4,"")</f>
        <v/>
      </c>
      <c r="K169" s="7">
        <f>IF(D169=1,I169,0)</f>
        <v/>
      </c>
    </row>
    <row r="170">
      <c r="A170" s="1" t="n"/>
      <c r="B170" s="51">
        <f>'Weekly Profit'!B163</f>
        <v/>
      </c>
      <c r="C170" s="51">
        <f>'Weekly Profit'!C163</f>
        <v/>
      </c>
      <c r="D170" s="51">
        <f>'Weekly Profit'!D163</f>
        <v/>
      </c>
      <c r="E170" s="7">
        <f>RevenueWk*MAX(0,MIN(1,B170-PayDays/7))</f>
        <v/>
      </c>
      <c r="F170" s="48">
        <f>'Weekly Profit'!H163</f>
        <v/>
      </c>
      <c r="G170" s="48">
        <f>'Weekly Profit'!I163</f>
        <v/>
      </c>
      <c r="H170" s="7">
        <f>E170+F170+G170</f>
        <v/>
      </c>
      <c r="I170" s="7">
        <f>I169+H170</f>
        <v/>
      </c>
      <c r="J170" s="47">
        <f>IF(AND(D170=1,I169&lt;0,I170&gt;=0,H170&gt;0),(B169+(-I169/H170))/4,"")</f>
        <v/>
      </c>
      <c r="K170" s="7">
        <f>IF(D170=1,I170,0)</f>
        <v/>
      </c>
    </row>
    <row r="171">
      <c r="A171" s="1" t="n"/>
      <c r="B171" s="51">
        <f>'Weekly Profit'!B164</f>
        <v/>
      </c>
      <c r="C171" s="51">
        <f>'Weekly Profit'!C164</f>
        <v/>
      </c>
      <c r="D171" s="51">
        <f>'Weekly Profit'!D164</f>
        <v/>
      </c>
      <c r="E171" s="7">
        <f>RevenueWk*MAX(0,MIN(1,B171-PayDays/7))</f>
        <v/>
      </c>
      <c r="F171" s="48">
        <f>'Weekly Profit'!H164</f>
        <v/>
      </c>
      <c r="G171" s="48">
        <f>'Weekly Profit'!I164</f>
        <v/>
      </c>
      <c r="H171" s="7">
        <f>E171+F171+G171</f>
        <v/>
      </c>
      <c r="I171" s="7">
        <f>I170+H171</f>
        <v/>
      </c>
      <c r="J171" s="47">
        <f>IF(AND(D171=1,I170&lt;0,I171&gt;=0,H171&gt;0),(B170+(-I170/H171))/4,"")</f>
        <v/>
      </c>
      <c r="K171" s="7">
        <f>IF(D171=1,I171,0)</f>
        <v/>
      </c>
    </row>
    <row r="172">
      <c r="A172" s="1" t="n"/>
      <c r="B172" s="51">
        <f>'Weekly Profit'!B165</f>
        <v/>
      </c>
      <c r="C172" s="51">
        <f>'Weekly Profit'!C165</f>
        <v/>
      </c>
      <c r="D172" s="51">
        <f>'Weekly Profit'!D165</f>
        <v/>
      </c>
      <c r="E172" s="7">
        <f>RevenueWk*MAX(0,MIN(1,B172-PayDays/7))</f>
        <v/>
      </c>
      <c r="F172" s="48">
        <f>'Weekly Profit'!H165</f>
        <v/>
      </c>
      <c r="G172" s="48">
        <f>'Weekly Profit'!I165</f>
        <v/>
      </c>
      <c r="H172" s="7">
        <f>E172+F172+G172</f>
        <v/>
      </c>
      <c r="I172" s="7">
        <f>I171+H172</f>
        <v/>
      </c>
      <c r="J172" s="47">
        <f>IF(AND(D172=1,I171&lt;0,I172&gt;=0,H172&gt;0),(B171+(-I171/H172))/4,"")</f>
        <v/>
      </c>
      <c r="K172" s="7">
        <f>IF(D172=1,I172,0)</f>
        <v/>
      </c>
    </row>
    <row r="173">
      <c r="A173" s="1" t="n"/>
      <c r="B173" s="51">
        <f>'Weekly Profit'!B166</f>
        <v/>
      </c>
      <c r="C173" s="51">
        <f>'Weekly Profit'!C166</f>
        <v/>
      </c>
      <c r="D173" s="51">
        <f>'Weekly Profit'!D166</f>
        <v/>
      </c>
      <c r="E173" s="7">
        <f>RevenueWk*MAX(0,MIN(1,B173-PayDays/7))</f>
        <v/>
      </c>
      <c r="F173" s="48">
        <f>'Weekly Profit'!H166</f>
        <v/>
      </c>
      <c r="G173" s="48">
        <f>'Weekly Profit'!I166</f>
        <v/>
      </c>
      <c r="H173" s="7">
        <f>E173+F173+G173</f>
        <v/>
      </c>
      <c r="I173" s="7">
        <f>I172+H173</f>
        <v/>
      </c>
      <c r="J173" s="47">
        <f>IF(AND(D173=1,I172&lt;0,I173&gt;=0,H173&gt;0),(B172+(-I172/H173))/4,"")</f>
        <v/>
      </c>
      <c r="K173" s="7">
        <f>IF(D173=1,I173,0)</f>
        <v/>
      </c>
    </row>
    <row r="174">
      <c r="A174" s="1" t="n"/>
      <c r="B174" s="51">
        <f>'Weekly Profit'!B167</f>
        <v/>
      </c>
      <c r="C174" s="51">
        <f>'Weekly Profit'!C167</f>
        <v/>
      </c>
      <c r="D174" s="51">
        <f>'Weekly Profit'!D167</f>
        <v/>
      </c>
      <c r="E174" s="7">
        <f>RevenueWk*MAX(0,MIN(1,B174-PayDays/7))</f>
        <v/>
      </c>
      <c r="F174" s="48">
        <f>'Weekly Profit'!H167</f>
        <v/>
      </c>
      <c r="G174" s="48">
        <f>'Weekly Profit'!I167</f>
        <v/>
      </c>
      <c r="H174" s="7">
        <f>E174+F174+G174</f>
        <v/>
      </c>
      <c r="I174" s="7">
        <f>I173+H174</f>
        <v/>
      </c>
      <c r="J174" s="47">
        <f>IF(AND(D174=1,I173&lt;0,I174&gt;=0,H174&gt;0),(B173+(-I173/H174))/4,"")</f>
        <v/>
      </c>
      <c r="K174" s="7">
        <f>IF(D174=1,I174,0)</f>
        <v/>
      </c>
    </row>
    <row r="175">
      <c r="A175" s="1" t="n"/>
      <c r="B175" s="51">
        <f>'Weekly Profit'!B168</f>
        <v/>
      </c>
      <c r="C175" s="51">
        <f>'Weekly Profit'!C168</f>
        <v/>
      </c>
      <c r="D175" s="51">
        <f>'Weekly Profit'!D168</f>
        <v/>
      </c>
      <c r="E175" s="7">
        <f>RevenueWk*MAX(0,MIN(1,B175-PayDays/7))</f>
        <v/>
      </c>
      <c r="F175" s="48">
        <f>'Weekly Profit'!H168</f>
        <v/>
      </c>
      <c r="G175" s="48">
        <f>'Weekly Profit'!I168</f>
        <v/>
      </c>
      <c r="H175" s="7">
        <f>E175+F175+G175</f>
        <v/>
      </c>
      <c r="I175" s="7">
        <f>I174+H175</f>
        <v/>
      </c>
      <c r="J175" s="47">
        <f>IF(AND(D175=1,I174&lt;0,I175&gt;=0,H175&gt;0),(B174+(-I174/H175))/4,"")</f>
        <v/>
      </c>
      <c r="K175" s="7">
        <f>IF(D175=1,I175,0)</f>
        <v/>
      </c>
    </row>
    <row r="176">
      <c r="A176" s="1" t="n"/>
      <c r="B176" s="51">
        <f>'Weekly Profit'!B169</f>
        <v/>
      </c>
      <c r="C176" s="51">
        <f>'Weekly Profit'!C169</f>
        <v/>
      </c>
      <c r="D176" s="51">
        <f>'Weekly Profit'!D169</f>
        <v/>
      </c>
      <c r="E176" s="7">
        <f>RevenueWk*MAX(0,MIN(1,B176-PayDays/7))</f>
        <v/>
      </c>
      <c r="F176" s="48">
        <f>'Weekly Profit'!H169</f>
        <v/>
      </c>
      <c r="G176" s="48">
        <f>'Weekly Profit'!I169</f>
        <v/>
      </c>
      <c r="H176" s="7">
        <f>E176+F176+G176</f>
        <v/>
      </c>
      <c r="I176" s="7">
        <f>I175+H176</f>
        <v/>
      </c>
      <c r="J176" s="47">
        <f>IF(AND(D176=1,I175&lt;0,I176&gt;=0,H176&gt;0),(B175+(-I175/H176))/4,"")</f>
        <v/>
      </c>
      <c r="K176" s="7">
        <f>IF(D176=1,I176,0)</f>
        <v/>
      </c>
    </row>
    <row r="177">
      <c r="A177" s="1" t="n"/>
      <c r="B177" s="51">
        <f>'Weekly Profit'!B170</f>
        <v/>
      </c>
      <c r="C177" s="51">
        <f>'Weekly Profit'!C170</f>
        <v/>
      </c>
      <c r="D177" s="51">
        <f>'Weekly Profit'!D170</f>
        <v/>
      </c>
      <c r="E177" s="7">
        <f>RevenueWk*MAX(0,MIN(1,B177-PayDays/7))</f>
        <v/>
      </c>
      <c r="F177" s="48">
        <f>'Weekly Profit'!H170</f>
        <v/>
      </c>
      <c r="G177" s="48">
        <f>'Weekly Profit'!I170</f>
        <v/>
      </c>
      <c r="H177" s="7">
        <f>E177+F177+G177</f>
        <v/>
      </c>
      <c r="I177" s="7">
        <f>I176+H177</f>
        <v/>
      </c>
      <c r="J177" s="47">
        <f>IF(AND(D177=1,I176&lt;0,I177&gt;=0,H177&gt;0),(B176+(-I176/H177))/4,"")</f>
        <v/>
      </c>
      <c r="K177" s="7">
        <f>IF(D177=1,I177,0)</f>
        <v/>
      </c>
    </row>
    <row r="178">
      <c r="A178" s="1" t="n"/>
      <c r="B178" s="51">
        <f>'Weekly Profit'!B171</f>
        <v/>
      </c>
      <c r="C178" s="51">
        <f>'Weekly Profit'!C171</f>
        <v/>
      </c>
      <c r="D178" s="51">
        <f>'Weekly Profit'!D171</f>
        <v/>
      </c>
      <c r="E178" s="7">
        <f>RevenueWk*MAX(0,MIN(1,B178-PayDays/7))</f>
        <v/>
      </c>
      <c r="F178" s="48">
        <f>'Weekly Profit'!H171</f>
        <v/>
      </c>
      <c r="G178" s="48">
        <f>'Weekly Profit'!I171</f>
        <v/>
      </c>
      <c r="H178" s="7">
        <f>E178+F178+G178</f>
        <v/>
      </c>
      <c r="I178" s="7">
        <f>I177+H178</f>
        <v/>
      </c>
      <c r="J178" s="47">
        <f>IF(AND(D178=1,I177&lt;0,I178&gt;=0,H178&gt;0),(B177+(-I177/H178))/4,"")</f>
        <v/>
      </c>
      <c r="K178" s="7">
        <f>IF(D178=1,I178,0)</f>
        <v/>
      </c>
    </row>
    <row r="179">
      <c r="A179" s="1" t="n"/>
      <c r="B179" s="51">
        <f>'Weekly Profit'!B172</f>
        <v/>
      </c>
      <c r="C179" s="51">
        <f>'Weekly Profit'!C172</f>
        <v/>
      </c>
      <c r="D179" s="51">
        <f>'Weekly Profit'!D172</f>
        <v/>
      </c>
      <c r="E179" s="7">
        <f>RevenueWk*MAX(0,MIN(1,B179-PayDays/7))</f>
        <v/>
      </c>
      <c r="F179" s="48">
        <f>'Weekly Profit'!H172</f>
        <v/>
      </c>
      <c r="G179" s="48">
        <f>'Weekly Profit'!I172</f>
        <v/>
      </c>
      <c r="H179" s="7">
        <f>E179+F179+G179</f>
        <v/>
      </c>
      <c r="I179" s="7">
        <f>I178+H179</f>
        <v/>
      </c>
      <c r="J179" s="47">
        <f>IF(AND(D179=1,I178&lt;0,I179&gt;=0,H179&gt;0),(B178+(-I178/H179))/4,"")</f>
        <v/>
      </c>
      <c r="K179" s="7">
        <f>IF(D179=1,I179,0)</f>
        <v/>
      </c>
    </row>
    <row r="180">
      <c r="A180" s="1" t="n"/>
      <c r="B180" s="51">
        <f>'Weekly Profit'!B173</f>
        <v/>
      </c>
      <c r="C180" s="51">
        <f>'Weekly Profit'!C173</f>
        <v/>
      </c>
      <c r="D180" s="51">
        <f>'Weekly Profit'!D173</f>
        <v/>
      </c>
      <c r="E180" s="7">
        <f>RevenueWk*MAX(0,MIN(1,B180-PayDays/7))</f>
        <v/>
      </c>
      <c r="F180" s="48">
        <f>'Weekly Profit'!H173</f>
        <v/>
      </c>
      <c r="G180" s="48">
        <f>'Weekly Profit'!I173</f>
        <v/>
      </c>
      <c r="H180" s="7">
        <f>E180+F180+G180</f>
        <v/>
      </c>
      <c r="I180" s="7">
        <f>I179+H180</f>
        <v/>
      </c>
      <c r="J180" s="47">
        <f>IF(AND(D180=1,I179&lt;0,I180&gt;=0,H180&gt;0),(B179+(-I179/H180))/4,"")</f>
        <v/>
      </c>
      <c r="K180" s="7">
        <f>IF(D180=1,I180,0)</f>
        <v/>
      </c>
    </row>
    <row r="181">
      <c r="A181" s="1" t="n"/>
      <c r="B181" s="51">
        <f>'Weekly Profit'!B174</f>
        <v/>
      </c>
      <c r="C181" s="51">
        <f>'Weekly Profit'!C174</f>
        <v/>
      </c>
      <c r="D181" s="51">
        <f>'Weekly Profit'!D174</f>
        <v/>
      </c>
      <c r="E181" s="7">
        <f>RevenueWk*MAX(0,MIN(1,B181-PayDays/7))</f>
        <v/>
      </c>
      <c r="F181" s="48">
        <f>'Weekly Profit'!H174</f>
        <v/>
      </c>
      <c r="G181" s="48">
        <f>'Weekly Profit'!I174</f>
        <v/>
      </c>
      <c r="H181" s="7">
        <f>E181+F181+G181</f>
        <v/>
      </c>
      <c r="I181" s="7">
        <f>I180+H181</f>
        <v/>
      </c>
      <c r="J181" s="47">
        <f>IF(AND(D181=1,I180&lt;0,I181&gt;=0,H181&gt;0),(B180+(-I180/H181))/4,"")</f>
        <v/>
      </c>
      <c r="K181" s="7">
        <f>IF(D181=1,I181,0)</f>
        <v/>
      </c>
    </row>
    <row r="182">
      <c r="A182" s="1" t="n"/>
      <c r="B182" s="51">
        <f>'Weekly Profit'!B175</f>
        <v/>
      </c>
      <c r="C182" s="51">
        <f>'Weekly Profit'!C175</f>
        <v/>
      </c>
      <c r="D182" s="51">
        <f>'Weekly Profit'!D175</f>
        <v/>
      </c>
      <c r="E182" s="7">
        <f>RevenueWk*MAX(0,MIN(1,B182-PayDays/7))</f>
        <v/>
      </c>
      <c r="F182" s="48">
        <f>'Weekly Profit'!H175</f>
        <v/>
      </c>
      <c r="G182" s="48">
        <f>'Weekly Profit'!I175</f>
        <v/>
      </c>
      <c r="H182" s="7">
        <f>E182+F182+G182</f>
        <v/>
      </c>
      <c r="I182" s="7">
        <f>I181+H182</f>
        <v/>
      </c>
      <c r="J182" s="47">
        <f>IF(AND(D182=1,I181&lt;0,I182&gt;=0,H182&gt;0),(B181+(-I181/H182))/4,"")</f>
        <v/>
      </c>
      <c r="K182" s="7">
        <f>IF(D182=1,I182,0)</f>
        <v/>
      </c>
    </row>
    <row r="183">
      <c r="A183" s="1" t="n"/>
      <c r="B183" s="51">
        <f>'Weekly Profit'!B176</f>
        <v/>
      </c>
      <c r="C183" s="51">
        <f>'Weekly Profit'!C176</f>
        <v/>
      </c>
      <c r="D183" s="51">
        <f>'Weekly Profit'!D176</f>
        <v/>
      </c>
      <c r="E183" s="7">
        <f>RevenueWk*MAX(0,MIN(1,B183-PayDays/7))</f>
        <v/>
      </c>
      <c r="F183" s="48">
        <f>'Weekly Profit'!H176</f>
        <v/>
      </c>
      <c r="G183" s="48">
        <f>'Weekly Profit'!I176</f>
        <v/>
      </c>
      <c r="H183" s="7">
        <f>E183+F183+G183</f>
        <v/>
      </c>
      <c r="I183" s="7">
        <f>I182+H183</f>
        <v/>
      </c>
      <c r="J183" s="47">
        <f>IF(AND(D183=1,I182&lt;0,I183&gt;=0,H183&gt;0),(B182+(-I182/H183))/4,"")</f>
        <v/>
      </c>
      <c r="K183" s="7">
        <f>IF(D183=1,I183,0)</f>
        <v/>
      </c>
    </row>
    <row r="184">
      <c r="A184" s="1" t="n"/>
      <c r="B184" s="51">
        <f>'Weekly Profit'!B177</f>
        <v/>
      </c>
      <c r="C184" s="51">
        <f>'Weekly Profit'!C177</f>
        <v/>
      </c>
      <c r="D184" s="51">
        <f>'Weekly Profit'!D177</f>
        <v/>
      </c>
      <c r="E184" s="7">
        <f>RevenueWk*MAX(0,MIN(1,B184-PayDays/7))</f>
        <v/>
      </c>
      <c r="F184" s="48">
        <f>'Weekly Profit'!H177</f>
        <v/>
      </c>
      <c r="G184" s="48">
        <f>'Weekly Profit'!I177</f>
        <v/>
      </c>
      <c r="H184" s="7">
        <f>E184+F184+G184</f>
        <v/>
      </c>
      <c r="I184" s="7">
        <f>I183+H184</f>
        <v/>
      </c>
      <c r="J184" s="47">
        <f>IF(AND(D184=1,I183&lt;0,I184&gt;=0,H184&gt;0),(B183+(-I183/H184))/4,"")</f>
        <v/>
      </c>
      <c r="K184" s="7">
        <f>IF(D184=1,I184,0)</f>
        <v/>
      </c>
    </row>
    <row r="185">
      <c r="A185" s="1" t="n"/>
      <c r="B185" s="51">
        <f>'Weekly Profit'!B178</f>
        <v/>
      </c>
      <c r="C185" s="51">
        <f>'Weekly Profit'!C178</f>
        <v/>
      </c>
      <c r="D185" s="51">
        <f>'Weekly Profit'!D178</f>
        <v/>
      </c>
      <c r="E185" s="7">
        <f>RevenueWk*MAX(0,MIN(1,B185-PayDays/7))</f>
        <v/>
      </c>
      <c r="F185" s="48">
        <f>'Weekly Profit'!H178</f>
        <v/>
      </c>
      <c r="G185" s="48">
        <f>'Weekly Profit'!I178</f>
        <v/>
      </c>
      <c r="H185" s="7">
        <f>E185+F185+G185</f>
        <v/>
      </c>
      <c r="I185" s="7">
        <f>I184+H185</f>
        <v/>
      </c>
      <c r="J185" s="47">
        <f>IF(AND(D185=1,I184&lt;0,I185&gt;=0,H185&gt;0),(B184+(-I184/H185))/4,"")</f>
        <v/>
      </c>
      <c r="K185" s="7">
        <f>IF(D185=1,I185,0)</f>
        <v/>
      </c>
    </row>
    <row r="186">
      <c r="A186" s="1" t="n"/>
      <c r="B186" s="51">
        <f>'Weekly Profit'!B179</f>
        <v/>
      </c>
      <c r="C186" s="51">
        <f>'Weekly Profit'!C179</f>
        <v/>
      </c>
      <c r="D186" s="51">
        <f>'Weekly Profit'!D179</f>
        <v/>
      </c>
      <c r="E186" s="7">
        <f>RevenueWk*MAX(0,MIN(1,B186-PayDays/7))</f>
        <v/>
      </c>
      <c r="F186" s="48">
        <f>'Weekly Profit'!H179</f>
        <v/>
      </c>
      <c r="G186" s="48">
        <f>'Weekly Profit'!I179</f>
        <v/>
      </c>
      <c r="H186" s="7">
        <f>E186+F186+G186</f>
        <v/>
      </c>
      <c r="I186" s="7">
        <f>I185+H186</f>
        <v/>
      </c>
      <c r="J186" s="47">
        <f>IF(AND(D186=1,I185&lt;0,I186&gt;=0,H186&gt;0),(B185+(-I185/H186))/4,"")</f>
        <v/>
      </c>
      <c r="K186" s="7">
        <f>IF(D186=1,I186,0)</f>
        <v/>
      </c>
    </row>
    <row r="187">
      <c r="A187" s="1" t="n"/>
      <c r="B187" s="51">
        <f>'Weekly Profit'!B180</f>
        <v/>
      </c>
      <c r="C187" s="51">
        <f>'Weekly Profit'!C180</f>
        <v/>
      </c>
      <c r="D187" s="51">
        <f>'Weekly Profit'!D180</f>
        <v/>
      </c>
      <c r="E187" s="7">
        <f>RevenueWk*MAX(0,MIN(1,B187-PayDays/7))</f>
        <v/>
      </c>
      <c r="F187" s="48">
        <f>'Weekly Profit'!H180</f>
        <v/>
      </c>
      <c r="G187" s="48">
        <f>'Weekly Profit'!I180</f>
        <v/>
      </c>
      <c r="H187" s="7">
        <f>E187+F187+G187</f>
        <v/>
      </c>
      <c r="I187" s="7">
        <f>I186+H187</f>
        <v/>
      </c>
      <c r="J187" s="47">
        <f>IF(AND(D187=1,I186&lt;0,I187&gt;=0,H187&gt;0),(B186+(-I186/H187))/4,"")</f>
        <v/>
      </c>
      <c r="K187" s="7">
        <f>IF(D187=1,I187,0)</f>
        <v/>
      </c>
    </row>
    <row r="188">
      <c r="A188" s="1" t="n"/>
      <c r="B188" s="51">
        <f>'Weekly Profit'!B181</f>
        <v/>
      </c>
      <c r="C188" s="51">
        <f>'Weekly Profit'!C181</f>
        <v/>
      </c>
      <c r="D188" s="51">
        <f>'Weekly Profit'!D181</f>
        <v/>
      </c>
      <c r="E188" s="7">
        <f>RevenueWk*MAX(0,MIN(1,B188-PayDays/7))</f>
        <v/>
      </c>
      <c r="F188" s="48">
        <f>'Weekly Profit'!H181</f>
        <v/>
      </c>
      <c r="G188" s="48">
        <f>'Weekly Profit'!I181</f>
        <v/>
      </c>
      <c r="H188" s="7">
        <f>E188+F188+G188</f>
        <v/>
      </c>
      <c r="I188" s="7">
        <f>I187+H188</f>
        <v/>
      </c>
      <c r="J188" s="47">
        <f>IF(AND(D188=1,I187&lt;0,I188&gt;=0,H188&gt;0),(B187+(-I187/H188))/4,"")</f>
        <v/>
      </c>
      <c r="K188" s="7">
        <f>IF(D188=1,I188,0)</f>
        <v/>
      </c>
    </row>
    <row r="189">
      <c r="A189" s="1" t="n"/>
      <c r="B189" s="51">
        <f>'Weekly Profit'!B182</f>
        <v/>
      </c>
      <c r="C189" s="51">
        <f>'Weekly Profit'!C182</f>
        <v/>
      </c>
      <c r="D189" s="51">
        <f>'Weekly Profit'!D182</f>
        <v/>
      </c>
      <c r="E189" s="7">
        <f>RevenueWk*MAX(0,MIN(1,B189-PayDays/7))</f>
        <v/>
      </c>
      <c r="F189" s="48">
        <f>'Weekly Profit'!H182</f>
        <v/>
      </c>
      <c r="G189" s="48">
        <f>'Weekly Profit'!I182</f>
        <v/>
      </c>
      <c r="H189" s="7">
        <f>E189+F189+G189</f>
        <v/>
      </c>
      <c r="I189" s="7">
        <f>I188+H189</f>
        <v/>
      </c>
      <c r="J189" s="47">
        <f>IF(AND(D189=1,I188&lt;0,I189&gt;=0,H189&gt;0),(B188+(-I188/H189))/4,"")</f>
        <v/>
      </c>
      <c r="K189" s="7">
        <f>IF(D189=1,I189,0)</f>
        <v/>
      </c>
    </row>
    <row r="190">
      <c r="A190" s="1" t="n"/>
      <c r="B190" s="51">
        <f>'Weekly Profit'!B183</f>
        <v/>
      </c>
      <c r="C190" s="51">
        <f>'Weekly Profit'!C183</f>
        <v/>
      </c>
      <c r="D190" s="51">
        <f>'Weekly Profit'!D183</f>
        <v/>
      </c>
      <c r="E190" s="7">
        <f>RevenueWk*MAX(0,MIN(1,B190-PayDays/7))</f>
        <v/>
      </c>
      <c r="F190" s="48">
        <f>'Weekly Profit'!H183</f>
        <v/>
      </c>
      <c r="G190" s="48">
        <f>'Weekly Profit'!I183</f>
        <v/>
      </c>
      <c r="H190" s="7">
        <f>E190+F190+G190</f>
        <v/>
      </c>
      <c r="I190" s="7">
        <f>I189+H190</f>
        <v/>
      </c>
      <c r="J190" s="47">
        <f>IF(AND(D190=1,I189&lt;0,I190&gt;=0,H190&gt;0),(B189+(-I189/H190))/4,"")</f>
        <v/>
      </c>
      <c r="K190" s="7">
        <f>IF(D190=1,I190,0)</f>
        <v/>
      </c>
    </row>
    <row r="191">
      <c r="A191" s="1" t="n"/>
      <c r="B191" s="51">
        <f>'Weekly Profit'!B184</f>
        <v/>
      </c>
      <c r="C191" s="51">
        <f>'Weekly Profit'!C184</f>
        <v/>
      </c>
      <c r="D191" s="51">
        <f>'Weekly Profit'!D184</f>
        <v/>
      </c>
      <c r="E191" s="7">
        <f>RevenueWk*MAX(0,MIN(1,B191-PayDays/7))</f>
        <v/>
      </c>
      <c r="F191" s="48">
        <f>'Weekly Profit'!H184</f>
        <v/>
      </c>
      <c r="G191" s="48">
        <f>'Weekly Profit'!I184</f>
        <v/>
      </c>
      <c r="H191" s="7">
        <f>E191+F191+G191</f>
        <v/>
      </c>
      <c r="I191" s="7">
        <f>I190+H191</f>
        <v/>
      </c>
      <c r="J191" s="47">
        <f>IF(AND(D191=1,I190&lt;0,I191&gt;=0,H191&gt;0),(B190+(-I190/H191))/4,"")</f>
        <v/>
      </c>
      <c r="K191" s="7">
        <f>IF(D191=1,I191,0)</f>
        <v/>
      </c>
    </row>
    <row r="192">
      <c r="A192" s="1" t="n"/>
      <c r="B192" s="51">
        <f>'Weekly Profit'!B185</f>
        <v/>
      </c>
      <c r="C192" s="51">
        <f>'Weekly Profit'!C185</f>
        <v/>
      </c>
      <c r="D192" s="51">
        <f>'Weekly Profit'!D185</f>
        <v/>
      </c>
      <c r="E192" s="7">
        <f>RevenueWk*MAX(0,MIN(1,B192-PayDays/7))</f>
        <v/>
      </c>
      <c r="F192" s="48">
        <f>'Weekly Profit'!H185</f>
        <v/>
      </c>
      <c r="G192" s="48">
        <f>'Weekly Profit'!I185</f>
        <v/>
      </c>
      <c r="H192" s="7">
        <f>E192+F192+G192</f>
        <v/>
      </c>
      <c r="I192" s="7">
        <f>I191+H192</f>
        <v/>
      </c>
      <c r="J192" s="47">
        <f>IF(AND(D192=1,I191&lt;0,I192&gt;=0,H192&gt;0),(B191+(-I191/H192))/4,"")</f>
        <v/>
      </c>
      <c r="K192" s="7">
        <f>IF(D192=1,I192,0)</f>
        <v/>
      </c>
    </row>
    <row r="193">
      <c r="A193" s="1" t="n"/>
      <c r="B193" s="51">
        <f>'Weekly Profit'!B186</f>
        <v/>
      </c>
      <c r="C193" s="51">
        <f>'Weekly Profit'!C186</f>
        <v/>
      </c>
      <c r="D193" s="51">
        <f>'Weekly Profit'!D186</f>
        <v/>
      </c>
      <c r="E193" s="7">
        <f>RevenueWk*MAX(0,MIN(1,B193-PayDays/7))</f>
        <v/>
      </c>
      <c r="F193" s="48">
        <f>'Weekly Profit'!H186</f>
        <v/>
      </c>
      <c r="G193" s="48">
        <f>'Weekly Profit'!I186</f>
        <v/>
      </c>
      <c r="H193" s="7">
        <f>E193+F193+G193</f>
        <v/>
      </c>
      <c r="I193" s="7">
        <f>I192+H193</f>
        <v/>
      </c>
      <c r="J193" s="47">
        <f>IF(AND(D193=1,I192&lt;0,I193&gt;=0,H193&gt;0),(B192+(-I192/H193))/4,"")</f>
        <v/>
      </c>
      <c r="K193" s="7">
        <f>IF(D193=1,I193,0)</f>
        <v/>
      </c>
    </row>
    <row r="194">
      <c r="A194" s="1" t="n"/>
      <c r="B194" s="51">
        <f>'Weekly Profit'!B187</f>
        <v/>
      </c>
      <c r="C194" s="51">
        <f>'Weekly Profit'!C187</f>
        <v/>
      </c>
      <c r="D194" s="51">
        <f>'Weekly Profit'!D187</f>
        <v/>
      </c>
      <c r="E194" s="7">
        <f>RevenueWk*MAX(0,MIN(1,B194-PayDays/7))</f>
        <v/>
      </c>
      <c r="F194" s="48">
        <f>'Weekly Profit'!H187</f>
        <v/>
      </c>
      <c r="G194" s="48">
        <f>'Weekly Profit'!I187</f>
        <v/>
      </c>
      <c r="H194" s="7">
        <f>E194+F194+G194</f>
        <v/>
      </c>
      <c r="I194" s="7">
        <f>I193+H194</f>
        <v/>
      </c>
      <c r="J194" s="47">
        <f>IF(AND(D194=1,I193&lt;0,I194&gt;=0,H194&gt;0),(B193+(-I193/H194))/4,"")</f>
        <v/>
      </c>
      <c r="K194" s="7">
        <f>IF(D194=1,I194,0)</f>
        <v/>
      </c>
    </row>
    <row r="195">
      <c r="A195" s="1" t="n"/>
      <c r="B195" s="51">
        <f>'Weekly Profit'!B188</f>
        <v/>
      </c>
      <c r="C195" s="51">
        <f>'Weekly Profit'!C188</f>
        <v/>
      </c>
      <c r="D195" s="51">
        <f>'Weekly Profit'!D188</f>
        <v/>
      </c>
      <c r="E195" s="7">
        <f>RevenueWk*MAX(0,MIN(1,B195-PayDays/7))</f>
        <v/>
      </c>
      <c r="F195" s="48">
        <f>'Weekly Profit'!H188</f>
        <v/>
      </c>
      <c r="G195" s="48">
        <f>'Weekly Profit'!I188</f>
        <v/>
      </c>
      <c r="H195" s="7">
        <f>E195+F195+G195</f>
        <v/>
      </c>
      <c r="I195" s="7">
        <f>I194+H195</f>
        <v/>
      </c>
      <c r="J195" s="47">
        <f>IF(AND(D195=1,I194&lt;0,I195&gt;=0,H195&gt;0),(B194+(-I194/H195))/4,"")</f>
        <v/>
      </c>
      <c r="K195" s="7">
        <f>IF(D195=1,I195,0)</f>
        <v/>
      </c>
    </row>
    <row r="196">
      <c r="A196" s="1" t="n"/>
      <c r="B196" s="51">
        <f>'Weekly Profit'!B189</f>
        <v/>
      </c>
      <c r="C196" s="51">
        <f>'Weekly Profit'!C189</f>
        <v/>
      </c>
      <c r="D196" s="51">
        <f>'Weekly Profit'!D189</f>
        <v/>
      </c>
      <c r="E196" s="7">
        <f>RevenueWk*MAX(0,MIN(1,B196-PayDays/7))</f>
        <v/>
      </c>
      <c r="F196" s="48">
        <f>'Weekly Profit'!H189</f>
        <v/>
      </c>
      <c r="G196" s="48">
        <f>'Weekly Profit'!I189</f>
        <v/>
      </c>
      <c r="H196" s="7">
        <f>E196+F196+G196</f>
        <v/>
      </c>
      <c r="I196" s="7">
        <f>I195+H196</f>
        <v/>
      </c>
      <c r="J196" s="47">
        <f>IF(AND(D196=1,I195&lt;0,I196&gt;=0,H196&gt;0),(B195+(-I195/H196))/4,"")</f>
        <v/>
      </c>
      <c r="K196" s="7">
        <f>IF(D196=1,I196,0)</f>
        <v/>
      </c>
    </row>
    <row r="197">
      <c r="A197" s="1" t="n"/>
      <c r="B197" s="51">
        <f>'Weekly Profit'!B190</f>
        <v/>
      </c>
      <c r="C197" s="51">
        <f>'Weekly Profit'!C190</f>
        <v/>
      </c>
      <c r="D197" s="51">
        <f>'Weekly Profit'!D190</f>
        <v/>
      </c>
      <c r="E197" s="7">
        <f>RevenueWk*MAX(0,MIN(1,B197-PayDays/7))</f>
        <v/>
      </c>
      <c r="F197" s="48">
        <f>'Weekly Profit'!H190</f>
        <v/>
      </c>
      <c r="G197" s="48">
        <f>'Weekly Profit'!I190</f>
        <v/>
      </c>
      <c r="H197" s="7">
        <f>E197+F197+G197</f>
        <v/>
      </c>
      <c r="I197" s="7">
        <f>I196+H197</f>
        <v/>
      </c>
      <c r="J197" s="47">
        <f>IF(AND(D197=1,I196&lt;0,I197&gt;=0,H197&gt;0),(B196+(-I196/H197))/4,"")</f>
        <v/>
      </c>
      <c r="K197" s="7">
        <f>IF(D197=1,I197,0)</f>
        <v/>
      </c>
    </row>
    <row r="198">
      <c r="A198" s="1" t="n"/>
      <c r="B198" s="51">
        <f>'Weekly Profit'!B191</f>
        <v/>
      </c>
      <c r="C198" s="51">
        <f>'Weekly Profit'!C191</f>
        <v/>
      </c>
      <c r="D198" s="51">
        <f>'Weekly Profit'!D191</f>
        <v/>
      </c>
      <c r="E198" s="7">
        <f>RevenueWk*MAX(0,MIN(1,B198-PayDays/7))</f>
        <v/>
      </c>
      <c r="F198" s="48">
        <f>'Weekly Profit'!H191</f>
        <v/>
      </c>
      <c r="G198" s="48">
        <f>'Weekly Profit'!I191</f>
        <v/>
      </c>
      <c r="H198" s="7">
        <f>E198+F198+G198</f>
        <v/>
      </c>
      <c r="I198" s="7">
        <f>I197+H198</f>
        <v/>
      </c>
      <c r="J198" s="47">
        <f>IF(AND(D198=1,I197&lt;0,I198&gt;=0,H198&gt;0),(B197+(-I197/H198))/4,"")</f>
        <v/>
      </c>
      <c r="K198" s="7">
        <f>IF(D198=1,I198,0)</f>
        <v/>
      </c>
    </row>
    <row r="199">
      <c r="A199" s="1" t="n"/>
      <c r="B199" s="51">
        <f>'Weekly Profit'!B192</f>
        <v/>
      </c>
      <c r="C199" s="51">
        <f>'Weekly Profit'!C192</f>
        <v/>
      </c>
      <c r="D199" s="51">
        <f>'Weekly Profit'!D192</f>
        <v/>
      </c>
      <c r="E199" s="7">
        <f>RevenueWk*MAX(0,MIN(1,B199-PayDays/7))</f>
        <v/>
      </c>
      <c r="F199" s="48">
        <f>'Weekly Profit'!H192</f>
        <v/>
      </c>
      <c r="G199" s="48">
        <f>'Weekly Profit'!I192</f>
        <v/>
      </c>
      <c r="H199" s="7">
        <f>E199+F199+G199</f>
        <v/>
      </c>
      <c r="I199" s="7">
        <f>I198+H199</f>
        <v/>
      </c>
      <c r="J199" s="47">
        <f>IF(AND(D199=1,I198&lt;0,I199&gt;=0,H199&gt;0),(B198+(-I198/H199))/4,"")</f>
        <v/>
      </c>
      <c r="K199" s="7">
        <f>IF(D199=1,I199,0)</f>
        <v/>
      </c>
    </row>
    <row r="200">
      <c r="A200" s="1" t="n"/>
      <c r="B200" s="51">
        <f>'Weekly Profit'!B193</f>
        <v/>
      </c>
      <c r="C200" s="51">
        <f>'Weekly Profit'!C193</f>
        <v/>
      </c>
      <c r="D200" s="51">
        <f>'Weekly Profit'!D193</f>
        <v/>
      </c>
      <c r="E200" s="7">
        <f>RevenueWk*MAX(0,MIN(1,B200-PayDays/7))</f>
        <v/>
      </c>
      <c r="F200" s="48">
        <f>'Weekly Profit'!H193</f>
        <v/>
      </c>
      <c r="G200" s="48">
        <f>'Weekly Profit'!I193</f>
        <v/>
      </c>
      <c r="H200" s="7">
        <f>E200+F200+G200</f>
        <v/>
      </c>
      <c r="I200" s="7">
        <f>I199+H200</f>
        <v/>
      </c>
      <c r="J200" s="47">
        <f>IF(AND(D200=1,I199&lt;0,I200&gt;=0,H200&gt;0),(B199+(-I199/H200))/4,"")</f>
        <v/>
      </c>
      <c r="K200" s="7">
        <f>IF(D200=1,I200,0)</f>
        <v/>
      </c>
    </row>
    <row r="201">
      <c r="A201" s="1" t="n"/>
      <c r="B201" s="51">
        <f>'Weekly Profit'!B194</f>
        <v/>
      </c>
      <c r="C201" s="51">
        <f>'Weekly Profit'!C194</f>
        <v/>
      </c>
      <c r="D201" s="51">
        <f>'Weekly Profit'!D194</f>
        <v/>
      </c>
      <c r="E201" s="7">
        <f>RevenueWk*MAX(0,MIN(1,B201-PayDays/7))</f>
        <v/>
      </c>
      <c r="F201" s="48">
        <f>'Weekly Profit'!H194</f>
        <v/>
      </c>
      <c r="G201" s="48">
        <f>'Weekly Profit'!I194</f>
        <v/>
      </c>
      <c r="H201" s="7">
        <f>E201+F201+G201</f>
        <v/>
      </c>
      <c r="I201" s="7">
        <f>I200+H201</f>
        <v/>
      </c>
      <c r="J201" s="47">
        <f>IF(AND(D201=1,I200&lt;0,I201&gt;=0,H201&gt;0),(B200+(-I200/H201))/4,"")</f>
        <v/>
      </c>
      <c r="K201" s="7">
        <f>IF(D201=1,I201,0)</f>
        <v/>
      </c>
    </row>
    <row r="202">
      <c r="A202" s="1" t="n"/>
      <c r="B202" s="51">
        <f>'Weekly Profit'!B195</f>
        <v/>
      </c>
      <c r="C202" s="51">
        <f>'Weekly Profit'!C195</f>
        <v/>
      </c>
      <c r="D202" s="51">
        <f>'Weekly Profit'!D195</f>
        <v/>
      </c>
      <c r="E202" s="7">
        <f>RevenueWk*MAX(0,MIN(1,B202-PayDays/7))</f>
        <v/>
      </c>
      <c r="F202" s="48">
        <f>'Weekly Profit'!H195</f>
        <v/>
      </c>
      <c r="G202" s="48">
        <f>'Weekly Profit'!I195</f>
        <v/>
      </c>
      <c r="H202" s="7">
        <f>E202+F202+G202</f>
        <v/>
      </c>
      <c r="I202" s="7">
        <f>I201+H202</f>
        <v/>
      </c>
      <c r="J202" s="47">
        <f>IF(AND(D202=1,I201&lt;0,I202&gt;=0,H202&gt;0),(B201+(-I201/H202))/4,"")</f>
        <v/>
      </c>
      <c r="K202" s="7">
        <f>IF(D202=1,I202,0)</f>
        <v/>
      </c>
    </row>
    <row r="203">
      <c r="A203" s="1" t="n"/>
      <c r="B203" s="51">
        <f>'Weekly Profit'!B196</f>
        <v/>
      </c>
      <c r="C203" s="51">
        <f>'Weekly Profit'!C196</f>
        <v/>
      </c>
      <c r="D203" s="51">
        <f>'Weekly Profit'!D196</f>
        <v/>
      </c>
      <c r="E203" s="7">
        <f>RevenueWk*MAX(0,MIN(1,B203-PayDays/7))</f>
        <v/>
      </c>
      <c r="F203" s="48">
        <f>'Weekly Profit'!H196</f>
        <v/>
      </c>
      <c r="G203" s="48">
        <f>'Weekly Profit'!I196</f>
        <v/>
      </c>
      <c r="H203" s="7">
        <f>E203+F203+G203</f>
        <v/>
      </c>
      <c r="I203" s="7">
        <f>I202+H203</f>
        <v/>
      </c>
      <c r="J203" s="47">
        <f>IF(AND(D203=1,I202&lt;0,I203&gt;=0,H203&gt;0),(B202+(-I202/H203))/4,"")</f>
        <v/>
      </c>
      <c r="K203" s="7">
        <f>IF(D203=1,I203,0)</f>
        <v/>
      </c>
    </row>
    <row r="204">
      <c r="A204" s="1" t="n"/>
      <c r="B204" s="51">
        <f>'Weekly Profit'!B197</f>
        <v/>
      </c>
      <c r="C204" s="51">
        <f>'Weekly Profit'!C197</f>
        <v/>
      </c>
      <c r="D204" s="51">
        <f>'Weekly Profit'!D197</f>
        <v/>
      </c>
      <c r="E204" s="7">
        <f>RevenueWk*MAX(0,MIN(1,B204-PayDays/7))</f>
        <v/>
      </c>
      <c r="F204" s="48">
        <f>'Weekly Profit'!H197</f>
        <v/>
      </c>
      <c r="G204" s="48">
        <f>'Weekly Profit'!I197</f>
        <v/>
      </c>
      <c r="H204" s="7">
        <f>E204+F204+G204</f>
        <v/>
      </c>
      <c r="I204" s="7">
        <f>I203+H204</f>
        <v/>
      </c>
      <c r="J204" s="47">
        <f>IF(AND(D204=1,I203&lt;0,I204&gt;=0,H204&gt;0),(B203+(-I203/H204))/4,"")</f>
        <v/>
      </c>
      <c r="K204" s="7">
        <f>IF(D204=1,I204,0)</f>
        <v/>
      </c>
    </row>
    <row r="205">
      <c r="A205" s="1" t="n"/>
      <c r="B205" s="51">
        <f>'Weekly Profit'!B198</f>
        <v/>
      </c>
      <c r="C205" s="51">
        <f>'Weekly Profit'!C198</f>
        <v/>
      </c>
      <c r="D205" s="51">
        <f>'Weekly Profit'!D198</f>
        <v/>
      </c>
      <c r="E205" s="7">
        <f>RevenueWk*MAX(0,MIN(1,B205-PayDays/7))</f>
        <v/>
      </c>
      <c r="F205" s="48">
        <f>'Weekly Profit'!H198</f>
        <v/>
      </c>
      <c r="G205" s="48">
        <f>'Weekly Profit'!I198</f>
        <v/>
      </c>
      <c r="H205" s="7">
        <f>E205+F205+G205</f>
        <v/>
      </c>
      <c r="I205" s="7">
        <f>I204+H205</f>
        <v/>
      </c>
      <c r="J205" s="47">
        <f>IF(AND(D205=1,I204&lt;0,I205&gt;=0,H205&gt;0),(B204+(-I204/H205))/4,"")</f>
        <v/>
      </c>
      <c r="K205" s="7">
        <f>IF(D205=1,I205,0)</f>
        <v/>
      </c>
    </row>
    <row r="206">
      <c r="A206" s="1" t="n"/>
      <c r="B206" s="51">
        <f>'Weekly Profit'!B199</f>
        <v/>
      </c>
      <c r="C206" s="51">
        <f>'Weekly Profit'!C199</f>
        <v/>
      </c>
      <c r="D206" s="51">
        <f>'Weekly Profit'!D199</f>
        <v/>
      </c>
      <c r="E206" s="7">
        <f>RevenueWk*MAX(0,MIN(1,B206-PayDays/7))</f>
        <v/>
      </c>
      <c r="F206" s="48">
        <f>'Weekly Profit'!H199</f>
        <v/>
      </c>
      <c r="G206" s="48">
        <f>'Weekly Profit'!I199</f>
        <v/>
      </c>
      <c r="H206" s="7">
        <f>E206+F206+G206</f>
        <v/>
      </c>
      <c r="I206" s="7">
        <f>I205+H206</f>
        <v/>
      </c>
      <c r="J206" s="47">
        <f>IF(AND(D206=1,I205&lt;0,I206&gt;=0,H206&gt;0),(B205+(-I205/H206))/4,"")</f>
        <v/>
      </c>
      <c r="K206" s="7">
        <f>IF(D206=1,I206,0)</f>
        <v/>
      </c>
    </row>
    <row r="207">
      <c r="A207" s="1" t="n"/>
      <c r="B207" s="51">
        <f>'Weekly Profit'!B200</f>
        <v/>
      </c>
      <c r="C207" s="51">
        <f>'Weekly Profit'!C200</f>
        <v/>
      </c>
      <c r="D207" s="51">
        <f>'Weekly Profit'!D200</f>
        <v/>
      </c>
      <c r="E207" s="7">
        <f>RevenueWk*MAX(0,MIN(1,B207-PayDays/7))</f>
        <v/>
      </c>
      <c r="F207" s="48">
        <f>'Weekly Profit'!H200</f>
        <v/>
      </c>
      <c r="G207" s="48">
        <f>'Weekly Profit'!I200</f>
        <v/>
      </c>
      <c r="H207" s="7">
        <f>E207+F207+G207</f>
        <v/>
      </c>
      <c r="I207" s="7">
        <f>I206+H207</f>
        <v/>
      </c>
      <c r="J207" s="47">
        <f>IF(AND(D207=1,I206&lt;0,I207&gt;=0,H207&gt;0),(B206+(-I206/H207))/4,"")</f>
        <v/>
      </c>
      <c r="K207" s="7">
        <f>IF(D207=1,I207,0)</f>
        <v/>
      </c>
    </row>
    <row r="208">
      <c r="A208" s="1" t="n"/>
      <c r="B208" s="51">
        <f>'Weekly Profit'!B201</f>
        <v/>
      </c>
      <c r="C208" s="51">
        <f>'Weekly Profit'!C201</f>
        <v/>
      </c>
      <c r="D208" s="51">
        <f>'Weekly Profit'!D201</f>
        <v/>
      </c>
      <c r="E208" s="7">
        <f>RevenueWk*MAX(0,MIN(1,B208-PayDays/7))</f>
        <v/>
      </c>
      <c r="F208" s="48">
        <f>'Weekly Profit'!H201</f>
        <v/>
      </c>
      <c r="G208" s="48">
        <f>'Weekly Profit'!I201</f>
        <v/>
      </c>
      <c r="H208" s="7">
        <f>E208+F208+G208</f>
        <v/>
      </c>
      <c r="I208" s="7">
        <f>I207+H208</f>
        <v/>
      </c>
      <c r="J208" s="47">
        <f>IF(AND(D208=1,I207&lt;0,I208&gt;=0,H208&gt;0),(B207+(-I207/H208))/4,"")</f>
        <v/>
      </c>
      <c r="K208" s="7">
        <f>IF(D208=1,I208,0)</f>
        <v/>
      </c>
    </row>
    <row r="209">
      <c r="A209" s="1" t="n"/>
      <c r="B209" s="51">
        <f>'Weekly Profit'!B202</f>
        <v/>
      </c>
      <c r="C209" s="51">
        <f>'Weekly Profit'!C202</f>
        <v/>
      </c>
      <c r="D209" s="51">
        <f>'Weekly Profit'!D202</f>
        <v/>
      </c>
      <c r="E209" s="7">
        <f>RevenueWk*MAX(0,MIN(1,B209-PayDays/7))</f>
        <v/>
      </c>
      <c r="F209" s="48">
        <f>'Weekly Profit'!H202</f>
        <v/>
      </c>
      <c r="G209" s="48">
        <f>'Weekly Profit'!I202</f>
        <v/>
      </c>
      <c r="H209" s="7">
        <f>E209+F209+G209</f>
        <v/>
      </c>
      <c r="I209" s="7">
        <f>I208+H209</f>
        <v/>
      </c>
      <c r="J209" s="47">
        <f>IF(AND(D209=1,I208&lt;0,I209&gt;=0,H209&gt;0),(B208+(-I208/H209))/4,"")</f>
        <v/>
      </c>
      <c r="K209" s="7">
        <f>IF(D209=1,I209,0)</f>
        <v/>
      </c>
    </row>
    <row r="210">
      <c r="A210" s="1" t="n"/>
      <c r="B210" s="51">
        <f>'Weekly Profit'!B203</f>
        <v/>
      </c>
      <c r="C210" s="51">
        <f>'Weekly Profit'!C203</f>
        <v/>
      </c>
      <c r="D210" s="51">
        <f>'Weekly Profit'!D203</f>
        <v/>
      </c>
      <c r="E210" s="7">
        <f>RevenueWk*MAX(0,MIN(1,B210-PayDays/7))</f>
        <v/>
      </c>
      <c r="F210" s="48">
        <f>'Weekly Profit'!H203</f>
        <v/>
      </c>
      <c r="G210" s="48">
        <f>'Weekly Profit'!I203</f>
        <v/>
      </c>
      <c r="H210" s="7">
        <f>E210+F210+G210</f>
        <v/>
      </c>
      <c r="I210" s="7">
        <f>I209+H210</f>
        <v/>
      </c>
      <c r="J210" s="47">
        <f>IF(AND(D210=1,I209&lt;0,I210&gt;=0,H210&gt;0),(B209+(-I209/H210))/4,"")</f>
        <v/>
      </c>
      <c r="K210" s="7">
        <f>IF(D210=1,I210,0)</f>
        <v/>
      </c>
    </row>
    <row r="211">
      <c r="A211" s="1" t="n"/>
      <c r="B211" s="51">
        <f>'Weekly Profit'!B204</f>
        <v/>
      </c>
      <c r="C211" s="51">
        <f>'Weekly Profit'!C204</f>
        <v/>
      </c>
      <c r="D211" s="51">
        <f>'Weekly Profit'!D204</f>
        <v/>
      </c>
      <c r="E211" s="7">
        <f>RevenueWk*MAX(0,MIN(1,B211-PayDays/7))</f>
        <v/>
      </c>
      <c r="F211" s="48">
        <f>'Weekly Profit'!H204</f>
        <v/>
      </c>
      <c r="G211" s="48">
        <f>'Weekly Profit'!I204</f>
        <v/>
      </c>
      <c r="H211" s="7">
        <f>E211+F211+G211</f>
        <v/>
      </c>
      <c r="I211" s="7">
        <f>I210+H211</f>
        <v/>
      </c>
      <c r="J211" s="47">
        <f>IF(AND(D211=1,I210&lt;0,I211&gt;=0,H211&gt;0),(B210+(-I210/H211))/4,"")</f>
        <v/>
      </c>
      <c r="K211" s="7">
        <f>IF(D211=1,I211,0)</f>
        <v/>
      </c>
    </row>
    <row r="212">
      <c r="A212" s="1" t="n"/>
      <c r="B212" s="51">
        <f>'Weekly Profit'!B205</f>
        <v/>
      </c>
      <c r="C212" s="51">
        <f>'Weekly Profit'!C205</f>
        <v/>
      </c>
      <c r="D212" s="51">
        <f>'Weekly Profit'!D205</f>
        <v/>
      </c>
      <c r="E212" s="7">
        <f>RevenueWk*MAX(0,MIN(1,B212-PayDays/7))</f>
        <v/>
      </c>
      <c r="F212" s="48">
        <f>'Weekly Profit'!H205</f>
        <v/>
      </c>
      <c r="G212" s="48">
        <f>'Weekly Profit'!I205</f>
        <v/>
      </c>
      <c r="H212" s="7">
        <f>E212+F212+G212</f>
        <v/>
      </c>
      <c r="I212" s="7">
        <f>I211+H212</f>
        <v/>
      </c>
      <c r="J212" s="47">
        <f>IF(AND(D212=1,I211&lt;0,I212&gt;=0,H212&gt;0),(B211+(-I211/H212))/4,"")</f>
        <v/>
      </c>
      <c r="K212" s="7">
        <f>IF(D212=1,I212,0)</f>
        <v/>
      </c>
    </row>
    <row r="213">
      <c r="A213" s="1" t="n"/>
      <c r="B213" s="51">
        <f>'Weekly Profit'!B206</f>
        <v/>
      </c>
      <c r="C213" s="51">
        <f>'Weekly Profit'!C206</f>
        <v/>
      </c>
      <c r="D213" s="51">
        <f>'Weekly Profit'!D206</f>
        <v/>
      </c>
      <c r="E213" s="7">
        <f>RevenueWk*MAX(0,MIN(1,B213-PayDays/7))</f>
        <v/>
      </c>
      <c r="F213" s="48">
        <f>'Weekly Profit'!H206</f>
        <v/>
      </c>
      <c r="G213" s="48">
        <f>'Weekly Profit'!I206</f>
        <v/>
      </c>
      <c r="H213" s="7">
        <f>E213+F213+G213</f>
        <v/>
      </c>
      <c r="I213" s="7">
        <f>I212+H213</f>
        <v/>
      </c>
      <c r="J213" s="47">
        <f>IF(AND(D213=1,I212&lt;0,I213&gt;=0,H213&gt;0),(B212+(-I212/H213))/4,"")</f>
        <v/>
      </c>
      <c r="K213" s="7">
        <f>IF(D213=1,I213,0)</f>
        <v/>
      </c>
    </row>
    <row r="214">
      <c r="A214" s="1" t="n"/>
      <c r="B214" s="51">
        <f>'Weekly Profit'!B207</f>
        <v/>
      </c>
      <c r="C214" s="51">
        <f>'Weekly Profit'!C207</f>
        <v/>
      </c>
      <c r="D214" s="51">
        <f>'Weekly Profit'!D207</f>
        <v/>
      </c>
      <c r="E214" s="7">
        <f>RevenueWk*MAX(0,MIN(1,B214-PayDays/7))</f>
        <v/>
      </c>
      <c r="F214" s="48">
        <f>'Weekly Profit'!H207</f>
        <v/>
      </c>
      <c r="G214" s="48">
        <f>'Weekly Profit'!I207</f>
        <v/>
      </c>
      <c r="H214" s="7">
        <f>E214+F214+G214</f>
        <v/>
      </c>
      <c r="I214" s="7">
        <f>I213+H214</f>
        <v/>
      </c>
      <c r="J214" s="47">
        <f>IF(AND(D214=1,I213&lt;0,I214&gt;=0,H214&gt;0),(B213+(-I213/H214))/4,"")</f>
        <v/>
      </c>
      <c r="K214" s="7">
        <f>IF(D214=1,I214,0)</f>
        <v/>
      </c>
    </row>
    <row r="215">
      <c r="A215" s="1" t="n"/>
      <c r="B215" s="51">
        <f>'Weekly Profit'!B208</f>
        <v/>
      </c>
      <c r="C215" s="51">
        <f>'Weekly Profit'!C208</f>
        <v/>
      </c>
      <c r="D215" s="51">
        <f>'Weekly Profit'!D208</f>
        <v/>
      </c>
      <c r="E215" s="7">
        <f>RevenueWk*MAX(0,MIN(1,B215-PayDays/7))</f>
        <v/>
      </c>
      <c r="F215" s="48">
        <f>'Weekly Profit'!H208</f>
        <v/>
      </c>
      <c r="G215" s="48">
        <f>'Weekly Profit'!I208</f>
        <v/>
      </c>
      <c r="H215" s="7">
        <f>E215+F215+G215</f>
        <v/>
      </c>
      <c r="I215" s="7">
        <f>I214+H215</f>
        <v/>
      </c>
      <c r="J215" s="47">
        <f>IF(AND(D215=1,I214&lt;0,I215&gt;=0,H215&gt;0),(B214+(-I214/H215))/4,"")</f>
        <v/>
      </c>
      <c r="K215" s="7">
        <f>IF(D215=1,I215,0)</f>
        <v/>
      </c>
    </row>
    <row r="216">
      <c r="A216" s="1" t="n"/>
      <c r="B216" s="51">
        <f>'Weekly Profit'!B209</f>
        <v/>
      </c>
      <c r="C216" s="51">
        <f>'Weekly Profit'!C209</f>
        <v/>
      </c>
      <c r="D216" s="51">
        <f>'Weekly Profit'!D209</f>
        <v/>
      </c>
      <c r="E216" s="7">
        <f>RevenueWk*MAX(0,MIN(1,B216-PayDays/7))</f>
        <v/>
      </c>
      <c r="F216" s="48">
        <f>'Weekly Profit'!H209</f>
        <v/>
      </c>
      <c r="G216" s="48">
        <f>'Weekly Profit'!I209</f>
        <v/>
      </c>
      <c r="H216" s="7">
        <f>E216+F216+G216</f>
        <v/>
      </c>
      <c r="I216" s="7">
        <f>I215+H216</f>
        <v/>
      </c>
      <c r="J216" s="47">
        <f>IF(AND(D216=1,I215&lt;0,I216&gt;=0,H216&gt;0),(B215+(-I215/H216))/4,"")</f>
        <v/>
      </c>
      <c r="K216" s="7">
        <f>IF(D216=1,I216,0)</f>
        <v/>
      </c>
    </row>
    <row r="217">
      <c r="A217" s="1" t="n"/>
      <c r="B217" s="51">
        <f>'Weekly Profit'!B210</f>
        <v/>
      </c>
      <c r="C217" s="51">
        <f>'Weekly Profit'!C210</f>
        <v/>
      </c>
      <c r="D217" s="51">
        <f>'Weekly Profit'!D210</f>
        <v/>
      </c>
      <c r="E217" s="7">
        <f>RevenueWk*MAX(0,MIN(1,B217-PayDays/7))</f>
        <v/>
      </c>
      <c r="F217" s="48">
        <f>'Weekly Profit'!H210</f>
        <v/>
      </c>
      <c r="G217" s="48">
        <f>'Weekly Profit'!I210</f>
        <v/>
      </c>
      <c r="H217" s="7">
        <f>E217+F217+G217</f>
        <v/>
      </c>
      <c r="I217" s="7">
        <f>I216+H217</f>
        <v/>
      </c>
      <c r="J217" s="47">
        <f>IF(AND(D217=1,I216&lt;0,I217&gt;=0,H217&gt;0),(B216+(-I216/H217))/4,"")</f>
        <v/>
      </c>
      <c r="K217" s="7">
        <f>IF(D217=1,I217,0)</f>
        <v/>
      </c>
    </row>
    <row r="218">
      <c r="A218" s="1" t="n"/>
      <c r="B218" s="51">
        <f>'Weekly Profit'!B211</f>
        <v/>
      </c>
      <c r="C218" s="51">
        <f>'Weekly Profit'!C211</f>
        <v/>
      </c>
      <c r="D218" s="51">
        <f>'Weekly Profit'!D211</f>
        <v/>
      </c>
      <c r="E218" s="7">
        <f>RevenueWk*MAX(0,MIN(1,B218-PayDays/7))</f>
        <v/>
      </c>
      <c r="F218" s="48">
        <f>'Weekly Profit'!H211</f>
        <v/>
      </c>
      <c r="G218" s="48">
        <f>'Weekly Profit'!I211</f>
        <v/>
      </c>
      <c r="H218" s="7">
        <f>E218+F218+G218</f>
        <v/>
      </c>
      <c r="I218" s="7">
        <f>I217+H218</f>
        <v/>
      </c>
      <c r="J218" s="47">
        <f>IF(AND(D218=1,I217&lt;0,I218&gt;=0,H218&gt;0),(B217+(-I217/H218))/4,"")</f>
        <v/>
      </c>
      <c r="K218" s="7">
        <f>IF(D218=1,I218,0)</f>
        <v/>
      </c>
    </row>
    <row r="219">
      <c r="A219" s="1" t="n"/>
      <c r="B219" s="51">
        <f>'Weekly Profit'!B212</f>
        <v/>
      </c>
      <c r="C219" s="51">
        <f>'Weekly Profit'!C212</f>
        <v/>
      </c>
      <c r="D219" s="51">
        <f>'Weekly Profit'!D212</f>
        <v/>
      </c>
      <c r="E219" s="7">
        <f>RevenueWk*MAX(0,MIN(1,B219-PayDays/7))</f>
        <v/>
      </c>
      <c r="F219" s="48">
        <f>'Weekly Profit'!H212</f>
        <v/>
      </c>
      <c r="G219" s="48">
        <f>'Weekly Profit'!I212</f>
        <v/>
      </c>
      <c r="H219" s="7">
        <f>E219+F219+G219</f>
        <v/>
      </c>
      <c r="I219" s="7">
        <f>I218+H219</f>
        <v/>
      </c>
      <c r="J219" s="47">
        <f>IF(AND(D219=1,I218&lt;0,I219&gt;=0,H219&gt;0),(B218+(-I218/H219))/4,"")</f>
        <v/>
      </c>
      <c r="K219" s="7">
        <f>IF(D219=1,I219,0)</f>
        <v/>
      </c>
    </row>
    <row r="220">
      <c r="A220" s="1" t="n"/>
      <c r="B220" s="51">
        <f>'Weekly Profit'!B213</f>
        <v/>
      </c>
      <c r="C220" s="51">
        <f>'Weekly Profit'!C213</f>
        <v/>
      </c>
      <c r="D220" s="51">
        <f>'Weekly Profit'!D213</f>
        <v/>
      </c>
      <c r="E220" s="7">
        <f>RevenueWk*MAX(0,MIN(1,B220-PayDays/7))</f>
        <v/>
      </c>
      <c r="F220" s="48">
        <f>'Weekly Profit'!H213</f>
        <v/>
      </c>
      <c r="G220" s="48">
        <f>'Weekly Profit'!I213</f>
        <v/>
      </c>
      <c r="H220" s="7">
        <f>E220+F220+G220</f>
        <v/>
      </c>
      <c r="I220" s="7">
        <f>I219+H220</f>
        <v/>
      </c>
      <c r="J220" s="47">
        <f>IF(AND(D220=1,I219&lt;0,I220&gt;=0,H220&gt;0),(B219+(-I219/H220))/4,"")</f>
        <v/>
      </c>
      <c r="K220" s="7">
        <f>IF(D220=1,I220,0)</f>
        <v/>
      </c>
    </row>
    <row r="221">
      <c r="A221" s="1" t="n"/>
      <c r="B221" s="51">
        <f>'Weekly Profit'!B214</f>
        <v/>
      </c>
      <c r="C221" s="51">
        <f>'Weekly Profit'!C214</f>
        <v/>
      </c>
      <c r="D221" s="51">
        <f>'Weekly Profit'!D214</f>
        <v/>
      </c>
      <c r="E221" s="7">
        <f>RevenueWk*MAX(0,MIN(1,B221-PayDays/7))</f>
        <v/>
      </c>
      <c r="F221" s="48">
        <f>'Weekly Profit'!H214</f>
        <v/>
      </c>
      <c r="G221" s="48">
        <f>'Weekly Profit'!I214</f>
        <v/>
      </c>
      <c r="H221" s="7">
        <f>E221+F221+G221</f>
        <v/>
      </c>
      <c r="I221" s="7">
        <f>I220+H221</f>
        <v/>
      </c>
      <c r="J221" s="47">
        <f>IF(AND(D221=1,I220&lt;0,I221&gt;=0,H221&gt;0),(B220+(-I220/H221))/4,"")</f>
        <v/>
      </c>
      <c r="K221" s="7">
        <f>IF(D221=1,I221,0)</f>
        <v/>
      </c>
    </row>
    <row r="222">
      <c r="A222" s="1" t="n"/>
      <c r="B222" s="51">
        <f>'Weekly Profit'!B215</f>
        <v/>
      </c>
      <c r="C222" s="51">
        <f>'Weekly Profit'!C215</f>
        <v/>
      </c>
      <c r="D222" s="51">
        <f>'Weekly Profit'!D215</f>
        <v/>
      </c>
      <c r="E222" s="7">
        <f>RevenueWk*MAX(0,MIN(1,B222-PayDays/7))</f>
        <v/>
      </c>
      <c r="F222" s="48">
        <f>'Weekly Profit'!H215</f>
        <v/>
      </c>
      <c r="G222" s="48">
        <f>'Weekly Profit'!I215</f>
        <v/>
      </c>
      <c r="H222" s="7">
        <f>E222+F222+G222</f>
        <v/>
      </c>
      <c r="I222" s="7">
        <f>I221+H222</f>
        <v/>
      </c>
      <c r="J222" s="47">
        <f>IF(AND(D222=1,I221&lt;0,I222&gt;=0,H222&gt;0),(B221+(-I221/H222))/4,"")</f>
        <v/>
      </c>
      <c r="K222" s="7">
        <f>IF(D222=1,I222,0)</f>
        <v/>
      </c>
    </row>
    <row r="223">
      <c r="A223" s="1" t="n"/>
      <c r="B223" s="51">
        <f>'Weekly Profit'!B216</f>
        <v/>
      </c>
      <c r="C223" s="51">
        <f>'Weekly Profit'!C216</f>
        <v/>
      </c>
      <c r="D223" s="51">
        <f>'Weekly Profit'!D216</f>
        <v/>
      </c>
      <c r="E223" s="7">
        <f>RevenueWk*MAX(0,MIN(1,B223-PayDays/7))</f>
        <v/>
      </c>
      <c r="F223" s="48">
        <f>'Weekly Profit'!H216</f>
        <v/>
      </c>
      <c r="G223" s="48">
        <f>'Weekly Profit'!I216</f>
        <v/>
      </c>
      <c r="H223" s="7">
        <f>E223+F223+G223</f>
        <v/>
      </c>
      <c r="I223" s="7">
        <f>I222+H223</f>
        <v/>
      </c>
      <c r="J223" s="47">
        <f>IF(AND(D223=1,I222&lt;0,I223&gt;=0,H223&gt;0),(B222+(-I222/H223))/4,"")</f>
        <v/>
      </c>
      <c r="K223" s="7">
        <f>IF(D223=1,I223,0)</f>
        <v/>
      </c>
    </row>
    <row r="224">
      <c r="A224" s="1" t="n"/>
      <c r="B224" s="51">
        <f>'Weekly Profit'!B217</f>
        <v/>
      </c>
      <c r="C224" s="51">
        <f>'Weekly Profit'!C217</f>
        <v/>
      </c>
      <c r="D224" s="51">
        <f>'Weekly Profit'!D217</f>
        <v/>
      </c>
      <c r="E224" s="7">
        <f>RevenueWk*MAX(0,MIN(1,B224-PayDays/7))</f>
        <v/>
      </c>
      <c r="F224" s="48">
        <f>'Weekly Profit'!H217</f>
        <v/>
      </c>
      <c r="G224" s="48">
        <f>'Weekly Profit'!I217</f>
        <v/>
      </c>
      <c r="H224" s="7">
        <f>E224+F224+G224</f>
        <v/>
      </c>
      <c r="I224" s="7">
        <f>I223+H224</f>
        <v/>
      </c>
      <c r="J224" s="47">
        <f>IF(AND(D224=1,I223&lt;0,I224&gt;=0,H224&gt;0),(B223+(-I223/H224))/4,"")</f>
        <v/>
      </c>
      <c r="K224" s="7">
        <f>IF(D224=1,I224,0)</f>
        <v/>
      </c>
    </row>
    <row r="225">
      <c r="A225" s="1" t="n"/>
      <c r="B225" s="51">
        <f>'Weekly Profit'!B218</f>
        <v/>
      </c>
      <c r="C225" s="51">
        <f>'Weekly Profit'!C218</f>
        <v/>
      </c>
      <c r="D225" s="51">
        <f>'Weekly Profit'!D218</f>
        <v/>
      </c>
      <c r="E225" s="7">
        <f>RevenueWk*MAX(0,MIN(1,B225-PayDays/7))</f>
        <v/>
      </c>
      <c r="F225" s="48">
        <f>'Weekly Profit'!H218</f>
        <v/>
      </c>
      <c r="G225" s="48">
        <f>'Weekly Profit'!I218</f>
        <v/>
      </c>
      <c r="H225" s="7">
        <f>E225+F225+G225</f>
        <v/>
      </c>
      <c r="I225" s="7">
        <f>I224+H225</f>
        <v/>
      </c>
      <c r="J225" s="47">
        <f>IF(AND(D225=1,I224&lt;0,I225&gt;=0,H225&gt;0),(B224+(-I224/H225))/4,"")</f>
        <v/>
      </c>
      <c r="K225" s="7">
        <f>IF(D225=1,I225,0)</f>
        <v/>
      </c>
    </row>
    <row r="226">
      <c r="A226" s="1" t="n"/>
      <c r="B226" s="51">
        <f>'Weekly Profit'!B219</f>
        <v/>
      </c>
      <c r="C226" s="51">
        <f>'Weekly Profit'!C219</f>
        <v/>
      </c>
      <c r="D226" s="51">
        <f>'Weekly Profit'!D219</f>
        <v/>
      </c>
      <c r="E226" s="7">
        <f>RevenueWk*MAX(0,MIN(1,B226-PayDays/7))</f>
        <v/>
      </c>
      <c r="F226" s="48">
        <f>'Weekly Profit'!H219</f>
        <v/>
      </c>
      <c r="G226" s="48">
        <f>'Weekly Profit'!I219</f>
        <v/>
      </c>
      <c r="H226" s="7">
        <f>E226+F226+G226</f>
        <v/>
      </c>
      <c r="I226" s="7">
        <f>I225+H226</f>
        <v/>
      </c>
      <c r="J226" s="47">
        <f>IF(AND(D226=1,I225&lt;0,I226&gt;=0,H226&gt;0),(B225+(-I225/H226))/4,"")</f>
        <v/>
      </c>
      <c r="K226" s="7">
        <f>IF(D226=1,I226,0)</f>
        <v/>
      </c>
    </row>
    <row r="227">
      <c r="A227" s="1" t="n"/>
      <c r="B227" s="51">
        <f>'Weekly Profit'!B220</f>
        <v/>
      </c>
      <c r="C227" s="51">
        <f>'Weekly Profit'!C220</f>
        <v/>
      </c>
      <c r="D227" s="51">
        <f>'Weekly Profit'!D220</f>
        <v/>
      </c>
      <c r="E227" s="7">
        <f>RevenueWk*MAX(0,MIN(1,B227-PayDays/7))</f>
        <v/>
      </c>
      <c r="F227" s="48">
        <f>'Weekly Profit'!H220</f>
        <v/>
      </c>
      <c r="G227" s="48">
        <f>'Weekly Profit'!I220</f>
        <v/>
      </c>
      <c r="H227" s="7">
        <f>E227+F227+G227</f>
        <v/>
      </c>
      <c r="I227" s="7">
        <f>I226+H227</f>
        <v/>
      </c>
      <c r="J227" s="47">
        <f>IF(AND(D227=1,I226&lt;0,I227&gt;=0,H227&gt;0),(B226+(-I226/H227))/4,"")</f>
        <v/>
      </c>
      <c r="K227" s="7">
        <f>IF(D227=1,I227,0)</f>
        <v/>
      </c>
    </row>
    <row r="228">
      <c r="A228" s="1" t="n"/>
      <c r="B228" s="51">
        <f>'Weekly Profit'!B221</f>
        <v/>
      </c>
      <c r="C228" s="51">
        <f>'Weekly Profit'!C221</f>
        <v/>
      </c>
      <c r="D228" s="51">
        <f>'Weekly Profit'!D221</f>
        <v/>
      </c>
      <c r="E228" s="7">
        <f>RevenueWk*MAX(0,MIN(1,B228-PayDays/7))</f>
        <v/>
      </c>
      <c r="F228" s="48">
        <f>'Weekly Profit'!H221</f>
        <v/>
      </c>
      <c r="G228" s="48">
        <f>'Weekly Profit'!I221</f>
        <v/>
      </c>
      <c r="H228" s="7">
        <f>E228+F228+G228</f>
        <v/>
      </c>
      <c r="I228" s="7">
        <f>I227+H228</f>
        <v/>
      </c>
      <c r="J228" s="47">
        <f>IF(AND(D228=1,I227&lt;0,I228&gt;=0,H228&gt;0),(B227+(-I227/H228))/4,"")</f>
        <v/>
      </c>
      <c r="K228" s="7">
        <f>IF(D228=1,I228,0)</f>
        <v/>
      </c>
    </row>
    <row r="229">
      <c r="A229" s="1" t="n"/>
      <c r="B229" s="51">
        <f>'Weekly Profit'!B222</f>
        <v/>
      </c>
      <c r="C229" s="51">
        <f>'Weekly Profit'!C222</f>
        <v/>
      </c>
      <c r="D229" s="51">
        <f>'Weekly Profit'!D222</f>
        <v/>
      </c>
      <c r="E229" s="7">
        <f>RevenueWk*MAX(0,MIN(1,B229-PayDays/7))</f>
        <v/>
      </c>
      <c r="F229" s="48">
        <f>'Weekly Profit'!H222</f>
        <v/>
      </c>
      <c r="G229" s="48">
        <f>'Weekly Profit'!I222</f>
        <v/>
      </c>
      <c r="H229" s="7">
        <f>E229+F229+G229</f>
        <v/>
      </c>
      <c r="I229" s="7">
        <f>I228+H229</f>
        <v/>
      </c>
      <c r="J229" s="47">
        <f>IF(AND(D229=1,I228&lt;0,I229&gt;=0,H229&gt;0),(B228+(-I228/H229))/4,"")</f>
        <v/>
      </c>
      <c r="K229" s="7">
        <f>IF(D229=1,I229,0)</f>
        <v/>
      </c>
    </row>
    <row r="230">
      <c r="A230" s="1" t="n"/>
      <c r="B230" s="51">
        <f>'Weekly Profit'!B223</f>
        <v/>
      </c>
      <c r="C230" s="51">
        <f>'Weekly Profit'!C223</f>
        <v/>
      </c>
      <c r="D230" s="51">
        <f>'Weekly Profit'!D223</f>
        <v/>
      </c>
      <c r="E230" s="7">
        <f>RevenueWk*MAX(0,MIN(1,B230-PayDays/7))</f>
        <v/>
      </c>
      <c r="F230" s="48">
        <f>'Weekly Profit'!H223</f>
        <v/>
      </c>
      <c r="G230" s="48">
        <f>'Weekly Profit'!I223</f>
        <v/>
      </c>
      <c r="H230" s="7">
        <f>E230+F230+G230</f>
        <v/>
      </c>
      <c r="I230" s="7">
        <f>I229+H230</f>
        <v/>
      </c>
      <c r="J230" s="47">
        <f>IF(AND(D230=1,I229&lt;0,I230&gt;=0,H230&gt;0),(B229+(-I229/H230))/4,"")</f>
        <v/>
      </c>
      <c r="K230" s="7">
        <f>IF(D230=1,I230,0)</f>
        <v/>
      </c>
    </row>
    <row r="231">
      <c r="A231" s="1" t="n"/>
      <c r="B231" s="51">
        <f>'Weekly Profit'!B224</f>
        <v/>
      </c>
      <c r="C231" s="51">
        <f>'Weekly Profit'!C224</f>
        <v/>
      </c>
      <c r="D231" s="51">
        <f>'Weekly Profit'!D224</f>
        <v/>
      </c>
      <c r="E231" s="7">
        <f>RevenueWk*MAX(0,MIN(1,B231-PayDays/7))</f>
        <v/>
      </c>
      <c r="F231" s="48">
        <f>'Weekly Profit'!H224</f>
        <v/>
      </c>
      <c r="G231" s="48">
        <f>'Weekly Profit'!I224</f>
        <v/>
      </c>
      <c r="H231" s="7">
        <f>E231+F231+G231</f>
        <v/>
      </c>
      <c r="I231" s="7">
        <f>I230+H231</f>
        <v/>
      </c>
      <c r="J231" s="47">
        <f>IF(AND(D231=1,I230&lt;0,I231&gt;=0,H231&gt;0),(B230+(-I230/H231))/4,"")</f>
        <v/>
      </c>
      <c r="K231" s="7">
        <f>IF(D231=1,I231,0)</f>
        <v/>
      </c>
    </row>
    <row r="232">
      <c r="A232" s="1" t="n"/>
      <c r="B232" s="51">
        <f>'Weekly Profit'!B225</f>
        <v/>
      </c>
      <c r="C232" s="51">
        <f>'Weekly Profit'!C225</f>
        <v/>
      </c>
      <c r="D232" s="51">
        <f>'Weekly Profit'!D225</f>
        <v/>
      </c>
      <c r="E232" s="7">
        <f>RevenueWk*MAX(0,MIN(1,B232-PayDays/7))</f>
        <v/>
      </c>
      <c r="F232" s="48">
        <f>'Weekly Profit'!H225</f>
        <v/>
      </c>
      <c r="G232" s="48">
        <f>'Weekly Profit'!I225</f>
        <v/>
      </c>
      <c r="H232" s="7">
        <f>E232+F232+G232</f>
        <v/>
      </c>
      <c r="I232" s="7">
        <f>I231+H232</f>
        <v/>
      </c>
      <c r="J232" s="47">
        <f>IF(AND(D232=1,I231&lt;0,I232&gt;=0,H232&gt;0),(B231+(-I231/H232))/4,"")</f>
        <v/>
      </c>
      <c r="K232" s="7">
        <f>IF(D232=1,I232,0)</f>
        <v/>
      </c>
    </row>
    <row r="233">
      <c r="A233" s="1" t="n"/>
      <c r="B233" s="51">
        <f>'Weekly Profit'!B226</f>
        <v/>
      </c>
      <c r="C233" s="51">
        <f>'Weekly Profit'!C226</f>
        <v/>
      </c>
      <c r="D233" s="51">
        <f>'Weekly Profit'!D226</f>
        <v/>
      </c>
      <c r="E233" s="7">
        <f>RevenueWk*MAX(0,MIN(1,B233-PayDays/7))</f>
        <v/>
      </c>
      <c r="F233" s="48">
        <f>'Weekly Profit'!H226</f>
        <v/>
      </c>
      <c r="G233" s="48">
        <f>'Weekly Profit'!I226</f>
        <v/>
      </c>
      <c r="H233" s="7">
        <f>E233+F233+G233</f>
        <v/>
      </c>
      <c r="I233" s="7">
        <f>I232+H233</f>
        <v/>
      </c>
      <c r="J233" s="47">
        <f>IF(AND(D233=1,I232&lt;0,I233&gt;=0,H233&gt;0),(B232+(-I232/H233))/4,"")</f>
        <v/>
      </c>
      <c r="K233" s="7">
        <f>IF(D233=1,I233,0)</f>
        <v/>
      </c>
    </row>
    <row r="234">
      <c r="A234" s="1" t="n"/>
      <c r="B234" s="51">
        <f>'Weekly Profit'!B227</f>
        <v/>
      </c>
      <c r="C234" s="51">
        <f>'Weekly Profit'!C227</f>
        <v/>
      </c>
      <c r="D234" s="51">
        <f>'Weekly Profit'!D227</f>
        <v/>
      </c>
      <c r="E234" s="7">
        <f>RevenueWk*MAX(0,MIN(1,B234-PayDays/7))</f>
        <v/>
      </c>
      <c r="F234" s="48">
        <f>'Weekly Profit'!H227</f>
        <v/>
      </c>
      <c r="G234" s="48">
        <f>'Weekly Profit'!I227</f>
        <v/>
      </c>
      <c r="H234" s="7">
        <f>E234+F234+G234</f>
        <v/>
      </c>
      <c r="I234" s="7">
        <f>I233+H234</f>
        <v/>
      </c>
      <c r="J234" s="47">
        <f>IF(AND(D234=1,I233&lt;0,I234&gt;=0,H234&gt;0),(B233+(-I233/H234))/4,"")</f>
        <v/>
      </c>
      <c r="K234" s="7">
        <f>IF(D234=1,I234,0)</f>
        <v/>
      </c>
    </row>
    <row r="235">
      <c r="A235" s="1" t="n"/>
      <c r="B235" s="51">
        <f>'Weekly Profit'!B228</f>
        <v/>
      </c>
      <c r="C235" s="51">
        <f>'Weekly Profit'!C228</f>
        <v/>
      </c>
      <c r="D235" s="51">
        <f>'Weekly Profit'!D228</f>
        <v/>
      </c>
      <c r="E235" s="7">
        <f>RevenueWk*MAX(0,MIN(1,B235-PayDays/7))</f>
        <v/>
      </c>
      <c r="F235" s="48">
        <f>'Weekly Profit'!H228</f>
        <v/>
      </c>
      <c r="G235" s="48">
        <f>'Weekly Profit'!I228</f>
        <v/>
      </c>
      <c r="H235" s="7">
        <f>E235+F235+G235</f>
        <v/>
      </c>
      <c r="I235" s="7">
        <f>I234+H235</f>
        <v/>
      </c>
      <c r="J235" s="47">
        <f>IF(AND(D235=1,I234&lt;0,I235&gt;=0,H235&gt;0),(B234+(-I234/H235))/4,"")</f>
        <v/>
      </c>
      <c r="K235" s="7">
        <f>IF(D235=1,I235,0)</f>
        <v/>
      </c>
    </row>
    <row r="236">
      <c r="A236" s="1" t="n"/>
      <c r="B236" s="51">
        <f>'Weekly Profit'!B229</f>
        <v/>
      </c>
      <c r="C236" s="51">
        <f>'Weekly Profit'!C229</f>
        <v/>
      </c>
      <c r="D236" s="51">
        <f>'Weekly Profit'!D229</f>
        <v/>
      </c>
      <c r="E236" s="7">
        <f>RevenueWk*MAX(0,MIN(1,B236-PayDays/7))</f>
        <v/>
      </c>
      <c r="F236" s="48">
        <f>'Weekly Profit'!H229</f>
        <v/>
      </c>
      <c r="G236" s="48">
        <f>'Weekly Profit'!I229</f>
        <v/>
      </c>
      <c r="H236" s="7">
        <f>E236+F236+G236</f>
        <v/>
      </c>
      <c r="I236" s="7">
        <f>I235+H236</f>
        <v/>
      </c>
      <c r="J236" s="47">
        <f>IF(AND(D236=1,I235&lt;0,I236&gt;=0,H236&gt;0),(B235+(-I235/H236))/4,"")</f>
        <v/>
      </c>
      <c r="K236" s="7">
        <f>IF(D236=1,I236,0)</f>
        <v/>
      </c>
    </row>
    <row r="237">
      <c r="A237" s="1" t="n"/>
      <c r="B237" s="51">
        <f>'Weekly Profit'!B230</f>
        <v/>
      </c>
      <c r="C237" s="51">
        <f>'Weekly Profit'!C230</f>
        <v/>
      </c>
      <c r="D237" s="51">
        <f>'Weekly Profit'!D230</f>
        <v/>
      </c>
      <c r="E237" s="7">
        <f>RevenueWk*MAX(0,MIN(1,B237-PayDays/7))</f>
        <v/>
      </c>
      <c r="F237" s="48">
        <f>'Weekly Profit'!H230</f>
        <v/>
      </c>
      <c r="G237" s="48">
        <f>'Weekly Profit'!I230</f>
        <v/>
      </c>
      <c r="H237" s="7">
        <f>E237+F237+G237</f>
        <v/>
      </c>
      <c r="I237" s="7">
        <f>I236+H237</f>
        <v/>
      </c>
      <c r="J237" s="47">
        <f>IF(AND(D237=1,I236&lt;0,I237&gt;=0,H237&gt;0),(B236+(-I236/H237))/4,"")</f>
        <v/>
      </c>
      <c r="K237" s="7">
        <f>IF(D237=1,I237,0)</f>
        <v/>
      </c>
    </row>
    <row r="238">
      <c r="A238" s="1" t="n"/>
      <c r="B238" s="51">
        <f>'Weekly Profit'!B231</f>
        <v/>
      </c>
      <c r="C238" s="51">
        <f>'Weekly Profit'!C231</f>
        <v/>
      </c>
      <c r="D238" s="51">
        <f>'Weekly Profit'!D231</f>
        <v/>
      </c>
      <c r="E238" s="7">
        <f>RevenueWk*MAX(0,MIN(1,B238-PayDays/7))</f>
        <v/>
      </c>
      <c r="F238" s="48">
        <f>'Weekly Profit'!H231</f>
        <v/>
      </c>
      <c r="G238" s="48">
        <f>'Weekly Profit'!I231</f>
        <v/>
      </c>
      <c r="H238" s="7">
        <f>E238+F238+G238</f>
        <v/>
      </c>
      <c r="I238" s="7">
        <f>I237+H238</f>
        <v/>
      </c>
      <c r="J238" s="47">
        <f>IF(AND(D238=1,I237&lt;0,I238&gt;=0,H238&gt;0),(B237+(-I237/H238))/4,"")</f>
        <v/>
      </c>
      <c r="K238" s="7">
        <f>IF(D238=1,I238,0)</f>
        <v/>
      </c>
    </row>
    <row r="239">
      <c r="A239" s="1" t="n"/>
      <c r="B239" s="51">
        <f>'Weekly Profit'!B232</f>
        <v/>
      </c>
      <c r="C239" s="51">
        <f>'Weekly Profit'!C232</f>
        <v/>
      </c>
      <c r="D239" s="51">
        <f>'Weekly Profit'!D232</f>
        <v/>
      </c>
      <c r="E239" s="7">
        <f>RevenueWk*MAX(0,MIN(1,B239-PayDays/7))</f>
        <v/>
      </c>
      <c r="F239" s="48">
        <f>'Weekly Profit'!H232</f>
        <v/>
      </c>
      <c r="G239" s="48">
        <f>'Weekly Profit'!I232</f>
        <v/>
      </c>
      <c r="H239" s="7">
        <f>E239+F239+G239</f>
        <v/>
      </c>
      <c r="I239" s="7">
        <f>I238+H239</f>
        <v/>
      </c>
      <c r="J239" s="47">
        <f>IF(AND(D239=1,I238&lt;0,I239&gt;=0,H239&gt;0),(B238+(-I238/H239))/4,"")</f>
        <v/>
      </c>
      <c r="K239" s="7">
        <f>IF(D239=1,I239,0)</f>
        <v/>
      </c>
    </row>
    <row r="240">
      <c r="A240" s="1" t="n"/>
      <c r="B240" s="51">
        <f>'Weekly Profit'!B233</f>
        <v/>
      </c>
      <c r="C240" s="51">
        <f>'Weekly Profit'!C233</f>
        <v/>
      </c>
      <c r="D240" s="51">
        <f>'Weekly Profit'!D233</f>
        <v/>
      </c>
      <c r="E240" s="7">
        <f>RevenueWk*MAX(0,MIN(1,B240-PayDays/7))</f>
        <v/>
      </c>
      <c r="F240" s="48">
        <f>'Weekly Profit'!H233</f>
        <v/>
      </c>
      <c r="G240" s="48">
        <f>'Weekly Profit'!I233</f>
        <v/>
      </c>
      <c r="H240" s="7">
        <f>E240+F240+G240</f>
        <v/>
      </c>
      <c r="I240" s="7">
        <f>I239+H240</f>
        <v/>
      </c>
      <c r="J240" s="47">
        <f>IF(AND(D240=1,I239&lt;0,I240&gt;=0,H240&gt;0),(B239+(-I239/H240))/4,"")</f>
        <v/>
      </c>
      <c r="K240" s="7">
        <f>IF(D240=1,I240,0)</f>
        <v/>
      </c>
    </row>
    <row r="241">
      <c r="A241" s="1" t="n"/>
      <c r="B241" s="51">
        <f>'Weekly Profit'!B234</f>
        <v/>
      </c>
      <c r="C241" s="51">
        <f>'Weekly Profit'!C234</f>
        <v/>
      </c>
      <c r="D241" s="51">
        <f>'Weekly Profit'!D234</f>
        <v/>
      </c>
      <c r="E241" s="7">
        <f>RevenueWk*MAX(0,MIN(1,B241-PayDays/7))</f>
        <v/>
      </c>
      <c r="F241" s="48">
        <f>'Weekly Profit'!H234</f>
        <v/>
      </c>
      <c r="G241" s="48">
        <f>'Weekly Profit'!I234</f>
        <v/>
      </c>
      <c r="H241" s="7">
        <f>E241+F241+G241</f>
        <v/>
      </c>
      <c r="I241" s="7">
        <f>I240+H241</f>
        <v/>
      </c>
      <c r="J241" s="47">
        <f>IF(AND(D241=1,I240&lt;0,I241&gt;=0,H241&gt;0),(B240+(-I240/H241))/4,"")</f>
        <v/>
      </c>
      <c r="K241" s="7">
        <f>IF(D241=1,I241,0)</f>
        <v/>
      </c>
    </row>
    <row r="242">
      <c r="A242" s="1" t="n"/>
      <c r="B242" s="51">
        <f>'Weekly Profit'!B235</f>
        <v/>
      </c>
      <c r="C242" s="51">
        <f>'Weekly Profit'!C235</f>
        <v/>
      </c>
      <c r="D242" s="51">
        <f>'Weekly Profit'!D235</f>
        <v/>
      </c>
      <c r="E242" s="7">
        <f>RevenueWk*MAX(0,MIN(1,B242-PayDays/7))</f>
        <v/>
      </c>
      <c r="F242" s="48">
        <f>'Weekly Profit'!H235</f>
        <v/>
      </c>
      <c r="G242" s="48">
        <f>'Weekly Profit'!I235</f>
        <v/>
      </c>
      <c r="H242" s="7">
        <f>E242+F242+G242</f>
        <v/>
      </c>
      <c r="I242" s="7">
        <f>I241+H242</f>
        <v/>
      </c>
      <c r="J242" s="47">
        <f>IF(AND(D242=1,I241&lt;0,I242&gt;=0,H242&gt;0),(B241+(-I241/H242))/4,"")</f>
        <v/>
      </c>
      <c r="K242" s="7">
        <f>IF(D242=1,I242,0)</f>
        <v/>
      </c>
    </row>
    <row r="243">
      <c r="A243" s="1" t="n"/>
      <c r="B243" s="51">
        <f>'Weekly Profit'!B236</f>
        <v/>
      </c>
      <c r="C243" s="51">
        <f>'Weekly Profit'!C236</f>
        <v/>
      </c>
      <c r="D243" s="51">
        <f>'Weekly Profit'!D236</f>
        <v/>
      </c>
      <c r="E243" s="7">
        <f>RevenueWk*MAX(0,MIN(1,B243-PayDays/7))</f>
        <v/>
      </c>
      <c r="F243" s="48">
        <f>'Weekly Profit'!H236</f>
        <v/>
      </c>
      <c r="G243" s="48">
        <f>'Weekly Profit'!I236</f>
        <v/>
      </c>
      <c r="H243" s="7">
        <f>E243+F243+G243</f>
        <v/>
      </c>
      <c r="I243" s="7">
        <f>I242+H243</f>
        <v/>
      </c>
      <c r="J243" s="47">
        <f>IF(AND(D243=1,I242&lt;0,I243&gt;=0,H243&gt;0),(B242+(-I242/H243))/4,"")</f>
        <v/>
      </c>
      <c r="K243" s="7">
        <f>IF(D243=1,I243,0)</f>
        <v/>
      </c>
    </row>
    <row r="244">
      <c r="A244" s="1" t="n"/>
      <c r="B244" s="51">
        <f>'Weekly Profit'!B237</f>
        <v/>
      </c>
      <c r="C244" s="51">
        <f>'Weekly Profit'!C237</f>
        <v/>
      </c>
      <c r="D244" s="51">
        <f>'Weekly Profit'!D237</f>
        <v/>
      </c>
      <c r="E244" s="7">
        <f>RevenueWk*MAX(0,MIN(1,B244-PayDays/7))</f>
        <v/>
      </c>
      <c r="F244" s="48">
        <f>'Weekly Profit'!H237</f>
        <v/>
      </c>
      <c r="G244" s="48">
        <f>'Weekly Profit'!I237</f>
        <v/>
      </c>
      <c r="H244" s="7">
        <f>E244+F244+G244</f>
        <v/>
      </c>
      <c r="I244" s="7">
        <f>I243+H244</f>
        <v/>
      </c>
      <c r="J244" s="47">
        <f>IF(AND(D244=1,I243&lt;0,I244&gt;=0,H244&gt;0),(B243+(-I243/H244))/4,"")</f>
        <v/>
      </c>
      <c r="K244" s="7">
        <f>IF(D244=1,I244,0)</f>
        <v/>
      </c>
    </row>
    <row r="245">
      <c r="A245" s="1" t="n"/>
      <c r="B245" s="51">
        <f>'Weekly Profit'!B238</f>
        <v/>
      </c>
      <c r="C245" s="51">
        <f>'Weekly Profit'!C238</f>
        <v/>
      </c>
      <c r="D245" s="51">
        <f>'Weekly Profit'!D238</f>
        <v/>
      </c>
      <c r="E245" s="7">
        <f>RevenueWk*MAX(0,MIN(1,B245-PayDays/7))</f>
        <v/>
      </c>
      <c r="F245" s="48">
        <f>'Weekly Profit'!H238</f>
        <v/>
      </c>
      <c r="G245" s="48">
        <f>'Weekly Profit'!I238</f>
        <v/>
      </c>
      <c r="H245" s="7">
        <f>E245+F245+G245</f>
        <v/>
      </c>
      <c r="I245" s="7">
        <f>I244+H245</f>
        <v/>
      </c>
      <c r="J245" s="47">
        <f>IF(AND(D245=1,I244&lt;0,I245&gt;=0,H245&gt;0),(B244+(-I244/H245))/4,"")</f>
        <v/>
      </c>
      <c r="K245" s="7">
        <f>IF(D245=1,I245,0)</f>
        <v/>
      </c>
    </row>
    <row r="246">
      <c r="A246" s="1" t="n"/>
      <c r="B246" s="51">
        <f>'Weekly Profit'!B239</f>
        <v/>
      </c>
      <c r="C246" s="51">
        <f>'Weekly Profit'!C239</f>
        <v/>
      </c>
      <c r="D246" s="51">
        <f>'Weekly Profit'!D239</f>
        <v/>
      </c>
      <c r="E246" s="7">
        <f>RevenueWk*MAX(0,MIN(1,B246-PayDays/7))</f>
        <v/>
      </c>
      <c r="F246" s="48">
        <f>'Weekly Profit'!H239</f>
        <v/>
      </c>
      <c r="G246" s="48">
        <f>'Weekly Profit'!I239</f>
        <v/>
      </c>
      <c r="H246" s="7">
        <f>E246+F246+G246</f>
        <v/>
      </c>
      <c r="I246" s="7">
        <f>I245+H246</f>
        <v/>
      </c>
      <c r="J246" s="47">
        <f>IF(AND(D246=1,I245&lt;0,I246&gt;=0,H246&gt;0),(B245+(-I245/H246))/4,"")</f>
        <v/>
      </c>
      <c r="K246" s="7">
        <f>IF(D246=1,I246,0)</f>
        <v/>
      </c>
    </row>
    <row r="247">
      <c r="A247" s="1" t="n"/>
      <c r="B247" s="51">
        <f>'Weekly Profit'!B240</f>
        <v/>
      </c>
      <c r="C247" s="51">
        <f>'Weekly Profit'!C240</f>
        <v/>
      </c>
      <c r="D247" s="51">
        <f>'Weekly Profit'!D240</f>
        <v/>
      </c>
      <c r="E247" s="7">
        <f>RevenueWk*MAX(0,MIN(1,B247-PayDays/7))</f>
        <v/>
      </c>
      <c r="F247" s="48">
        <f>'Weekly Profit'!H240</f>
        <v/>
      </c>
      <c r="G247" s="48">
        <f>'Weekly Profit'!I240</f>
        <v/>
      </c>
      <c r="H247" s="7">
        <f>E247+F247+G247</f>
        <v/>
      </c>
      <c r="I247" s="7">
        <f>I246+H247</f>
        <v/>
      </c>
      <c r="J247" s="47">
        <f>IF(AND(D247=1,I246&lt;0,I247&gt;=0,H247&gt;0),(B246+(-I246/H247))/4,"")</f>
        <v/>
      </c>
      <c r="K247" s="7">
        <f>IF(D247=1,I247,0)</f>
        <v/>
      </c>
    </row>
    <row r="248">
      <c r="A248" s="1" t="n"/>
      <c r="B248" s="51">
        <f>'Weekly Profit'!B241</f>
        <v/>
      </c>
      <c r="C248" s="51">
        <f>'Weekly Profit'!C241</f>
        <v/>
      </c>
      <c r="D248" s="51">
        <f>'Weekly Profit'!D241</f>
        <v/>
      </c>
      <c r="E248" s="7">
        <f>RevenueWk*MAX(0,MIN(1,B248-PayDays/7))</f>
        <v/>
      </c>
      <c r="F248" s="48">
        <f>'Weekly Profit'!H241</f>
        <v/>
      </c>
      <c r="G248" s="48">
        <f>'Weekly Profit'!I241</f>
        <v/>
      </c>
      <c r="H248" s="7">
        <f>E248+F248+G248</f>
        <v/>
      </c>
      <c r="I248" s="7">
        <f>I247+H248</f>
        <v/>
      </c>
      <c r="J248" s="47">
        <f>IF(AND(D248=1,I247&lt;0,I248&gt;=0,H248&gt;0),(B247+(-I247/H248))/4,"")</f>
        <v/>
      </c>
      <c r="K248" s="7">
        <f>IF(D248=1,I248,0)</f>
        <v/>
      </c>
    </row>
    <row r="249">
      <c r="A249" s="1" t="n"/>
      <c r="B249" s="51">
        <f>'Weekly Profit'!B242</f>
        <v/>
      </c>
      <c r="C249" s="51">
        <f>'Weekly Profit'!C242</f>
        <v/>
      </c>
      <c r="D249" s="51">
        <f>'Weekly Profit'!D242</f>
        <v/>
      </c>
      <c r="E249" s="7">
        <f>RevenueWk*MAX(0,MIN(1,B249-PayDays/7))</f>
        <v/>
      </c>
      <c r="F249" s="48">
        <f>'Weekly Profit'!H242</f>
        <v/>
      </c>
      <c r="G249" s="48">
        <f>'Weekly Profit'!I242</f>
        <v/>
      </c>
      <c r="H249" s="7">
        <f>E249+F249+G249</f>
        <v/>
      </c>
      <c r="I249" s="7">
        <f>I248+H249</f>
        <v/>
      </c>
      <c r="J249" s="47">
        <f>IF(AND(D249=1,I248&lt;0,I249&gt;=0,H249&gt;0),(B248+(-I248/H249))/4,"")</f>
        <v/>
      </c>
      <c r="K249" s="7">
        <f>IF(D249=1,I249,0)</f>
        <v/>
      </c>
    </row>
    <row r="250">
      <c r="A250" s="1" t="n"/>
      <c r="B250" s="51">
        <f>'Weekly Profit'!B243</f>
        <v/>
      </c>
      <c r="C250" s="51">
        <f>'Weekly Profit'!C243</f>
        <v/>
      </c>
      <c r="D250" s="51">
        <f>'Weekly Profit'!D243</f>
        <v/>
      </c>
      <c r="E250" s="7">
        <f>RevenueWk*MAX(0,MIN(1,B250-PayDays/7))</f>
        <v/>
      </c>
      <c r="F250" s="48">
        <f>'Weekly Profit'!H243</f>
        <v/>
      </c>
      <c r="G250" s="48">
        <f>'Weekly Profit'!I243</f>
        <v/>
      </c>
      <c r="H250" s="7">
        <f>E250+F250+G250</f>
        <v/>
      </c>
      <c r="I250" s="7">
        <f>I249+H250</f>
        <v/>
      </c>
      <c r="J250" s="47">
        <f>IF(AND(D250=1,I249&lt;0,I250&gt;=0,H250&gt;0),(B249+(-I249/H250))/4,"")</f>
        <v/>
      </c>
      <c r="K250" s="7">
        <f>IF(D250=1,I250,0)</f>
        <v/>
      </c>
    </row>
    <row r="251">
      <c r="A251" s="1" t="n"/>
      <c r="B251" s="51">
        <f>'Weekly Profit'!B244</f>
        <v/>
      </c>
      <c r="C251" s="51">
        <f>'Weekly Profit'!C244</f>
        <v/>
      </c>
      <c r="D251" s="51">
        <f>'Weekly Profit'!D244</f>
        <v/>
      </c>
      <c r="E251" s="7">
        <f>RevenueWk*MAX(0,MIN(1,B251-PayDays/7))</f>
        <v/>
      </c>
      <c r="F251" s="48">
        <f>'Weekly Profit'!H244</f>
        <v/>
      </c>
      <c r="G251" s="48">
        <f>'Weekly Profit'!I244</f>
        <v/>
      </c>
      <c r="H251" s="7">
        <f>E251+F251+G251</f>
        <v/>
      </c>
      <c r="I251" s="7">
        <f>I250+H251</f>
        <v/>
      </c>
      <c r="J251" s="47">
        <f>IF(AND(D251=1,I250&lt;0,I251&gt;=0,H251&gt;0),(B250+(-I250/H251))/4,"")</f>
        <v/>
      </c>
      <c r="K251" s="7">
        <f>IF(D251=1,I251,0)</f>
        <v/>
      </c>
    </row>
    <row r="252">
      <c r="A252" s="1" t="n"/>
      <c r="B252" s="51">
        <f>'Weekly Profit'!B245</f>
        <v/>
      </c>
      <c r="C252" s="51">
        <f>'Weekly Profit'!C245</f>
        <v/>
      </c>
      <c r="D252" s="51">
        <f>'Weekly Profit'!D245</f>
        <v/>
      </c>
      <c r="E252" s="7">
        <f>RevenueWk*MAX(0,MIN(1,B252-PayDays/7))</f>
        <v/>
      </c>
      <c r="F252" s="48">
        <f>'Weekly Profit'!H245</f>
        <v/>
      </c>
      <c r="G252" s="48">
        <f>'Weekly Profit'!I245</f>
        <v/>
      </c>
      <c r="H252" s="7">
        <f>E252+F252+G252</f>
        <v/>
      </c>
      <c r="I252" s="7">
        <f>I251+H252</f>
        <v/>
      </c>
      <c r="J252" s="47">
        <f>IF(AND(D252=1,I251&lt;0,I252&gt;=0,H252&gt;0),(B251+(-I251/H252))/4,"")</f>
        <v/>
      </c>
      <c r="K252" s="7">
        <f>IF(D252=1,I252,0)</f>
        <v/>
      </c>
    </row>
  </sheetData>
  <conditionalFormatting sqref="B12:K252">
    <cfRule type="expression" priority="1" dxfId="2">
      <formula>$D12=0</formula>
    </cfRule>
  </conditionalFormatting>
  <conditionalFormatting sqref="I12:I252">
    <cfRule type="cellIs" priority="2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4" customWidth="1" min="4" max="4"/>
    <col width="14" customWidth="1" min="5" max="5"/>
    <col width="13" customWidth="1" min="6" max="6"/>
  </cols>
  <sheetData>
    <row r="1">
      <c r="A1" s="1" t="n"/>
      <c r="B1" s="2" t="inlineStr">
        <is>
          <t>What moves ROI most</t>
        </is>
      </c>
      <c r="C1" s="1" t="n"/>
      <c r="D1" s="1" t="n"/>
      <c r="E1" s="1" t="n"/>
      <c r="F1" s="1" t="n"/>
    </row>
    <row r="2">
      <c r="A2" s="1" t="n"/>
      <c r="B2" s="3" t="inlineStr">
        <is>
          <t>Each input is moved 20% better and 20% worse with all others held at the active scenario. Read the Swing column for impact.</t>
        </is>
      </c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>
      <c r="A4" s="1" t="n"/>
      <c r="B4" s="26" t="inlineStr">
        <is>
          <t>Base ROI (active scenario)</t>
        </is>
      </c>
      <c r="C4" s="1" t="n"/>
      <c r="D4" s="52">
        <f>IF(((Devices)*(DevPrice))&gt;0,((Horizon)*(((Devices)*(HPD)*(DaysMo))*((Sellable)*(PricePerHr)-(CostPerHr)))-((Devices)*(DevPrice))*(1+INT(((Horizon)-1)/MAX(1,Life))))/((Devices)*(DevPrice)),0)</f>
        <v/>
      </c>
      <c r="E4" s="1" t="n"/>
      <c r="F4" s="1" t="n"/>
    </row>
    <row r="5">
      <c r="A5" s="1" t="n"/>
      <c r="B5" s="1" t="inlineStr">
        <is>
          <t>Change applied</t>
        </is>
      </c>
      <c r="C5" s="1" t="n"/>
      <c r="D5" s="53" t="n">
        <v>0.2</v>
      </c>
      <c r="E5" s="3" t="inlineStr">
        <is>
          <t>Size of the up/down move. Edit to test a different range.</t>
        </is>
      </c>
      <c r="F5" s="1" t="n"/>
    </row>
    <row r="6">
      <c r="A6" s="1" t="n"/>
      <c r="B6" s="1" t="n"/>
      <c r="C6" s="1" t="n"/>
      <c r="D6" s="1" t="n"/>
      <c r="E6" s="1" t="n"/>
      <c r="F6" s="1" t="n"/>
    </row>
    <row r="7">
      <c r="A7" s="1" t="n"/>
      <c r="B7" s="19" t="inlineStr">
        <is>
          <t>Input</t>
        </is>
      </c>
      <c r="C7" s="19" t="inlineStr">
        <is>
          <t>Active value</t>
        </is>
      </c>
      <c r="D7" s="19" t="inlineStr">
        <is>
          <t>ROI if better</t>
        </is>
      </c>
      <c r="E7" s="19" t="inlineStr">
        <is>
          <t>ROI if worse</t>
        </is>
      </c>
      <c r="F7" s="19" t="inlineStr">
        <is>
          <t>Swing (pts)</t>
        </is>
      </c>
    </row>
    <row r="8">
      <c r="A8" s="1" t="n"/>
      <c r="B8" s="5" t="inlineStr">
        <is>
          <t>Price per hour</t>
        </is>
      </c>
      <c r="C8" s="11">
        <f>PricePerHr</f>
        <v/>
      </c>
      <c r="D8" s="54">
        <f>IF(((Devices)*(DevPrice))&gt;0,((Horizon)*(((Devices)*(HPD)*(DaysMo))*((Sellable)*(PricePerHr*(1+$D$5))-(CostPerHr)))-((Devices)*(DevPrice))*(1+INT(((Horizon)-1)/MAX(1,Life))))/((Devices)*(DevPrice)),0)</f>
        <v/>
      </c>
      <c r="E8" s="54">
        <f>IF(((Devices)*(DevPrice))&gt;0,((Horizon)*(((Devices)*(HPD)*(DaysMo))*((Sellable)*(PricePerHr*(1-$D$5))-(CostPerHr)))-((Devices)*(DevPrice))*(1+INT(((Horizon)-1)/MAX(1,Life))))/((Devices)*(DevPrice)),0)</f>
        <v/>
      </c>
      <c r="F8" s="44">
        <f>(D8-E8)*100</f>
        <v/>
      </c>
    </row>
    <row r="9">
      <c r="A9" s="1" t="n"/>
      <c r="B9" s="5" t="inlineStr">
        <is>
          <t>Sellable rate</t>
        </is>
      </c>
      <c r="C9" s="54">
        <f>Sellable</f>
        <v/>
      </c>
      <c r="D9" s="54">
        <f>IF(((Devices)*(DevPrice))&gt;0,((Horizon)*(((Devices)*(HPD)*(DaysMo))*((MIN(1,Sellable*(1+$D$5)))*(PricePerHr)-(CostPerHr)))-((Devices)*(DevPrice))*(1+INT(((Horizon)-1)/MAX(1,Life))))/((Devices)*(DevPrice)),0)</f>
        <v/>
      </c>
      <c r="E9" s="54">
        <f>IF(((Devices)*(DevPrice))&gt;0,((Horizon)*(((Devices)*(HPD)*(DaysMo))*((MIN(1,Sellable*(1-$D$5)))*(PricePerHr)-(CostPerHr)))-((Devices)*(DevPrice))*(1+INT(((Horizon)-1)/MAX(1,Life))))/((Devices)*(DevPrice)),0)</f>
        <v/>
      </c>
      <c r="F9" s="44">
        <f>(D9-E9)*100</f>
        <v/>
      </c>
    </row>
    <row r="10">
      <c r="A10" s="1" t="n"/>
      <c r="B10" s="5" t="inlineStr">
        <is>
          <t>Hours recorded / day</t>
        </is>
      </c>
      <c r="C10" s="44">
        <f>HPD</f>
        <v/>
      </c>
      <c r="D10" s="54">
        <f>IF(((Devices)*(DevPrice))&gt;0,((Horizon)*(((Devices)*(MIN(24,HPD*(1+$D$5)))*(DaysMo))*((Sellable)*(PricePerHr)-(CostPerHr)))-((Devices)*(DevPrice))*(1+INT(((Horizon)-1)/MAX(1,Life))))/((Devices)*(DevPrice)),0)</f>
        <v/>
      </c>
      <c r="E10" s="54">
        <f>IF(((Devices)*(DevPrice))&gt;0,((Horizon)*(((Devices)*(MIN(24,HPD*(1-$D$5)))*(DaysMo))*((Sellable)*(PricePerHr)-(CostPerHr)))-((Devices)*(DevPrice))*(1+INT(((Horizon)-1)/MAX(1,Life))))/((Devices)*(DevPrice)),0)</f>
        <v/>
      </c>
      <c r="F10" s="44">
        <f>(D10-E10)*100</f>
        <v/>
      </c>
    </row>
    <row r="11">
      <c r="A11" s="1" t="n"/>
      <c r="B11" s="5" t="inlineStr">
        <is>
          <t>Collection cost / hr</t>
        </is>
      </c>
      <c r="C11" s="11">
        <f>CostPerHr</f>
        <v/>
      </c>
      <c r="D11" s="54">
        <f>IF(((Devices)*(DevPrice))&gt;0,((Horizon)*(((Devices)*(HPD)*(DaysMo))*((Sellable)*(PricePerHr)-(CostPerHr*(1-$D$5))))-((Devices)*(DevPrice))*(1+INT(((Horizon)-1)/MAX(1,Life))))/((Devices)*(DevPrice)),0)</f>
        <v/>
      </c>
      <c r="E11" s="54">
        <f>IF(((Devices)*(DevPrice))&gt;0,((Horizon)*(((Devices)*(HPD)*(DaysMo))*((Sellable)*(PricePerHr)-(CostPerHr*(1+$D$5))))-((Devices)*(DevPrice))*(1+INT(((Horizon)-1)/MAX(1,Life))))/((Devices)*(DevPrice)),0)</f>
        <v/>
      </c>
      <c r="F11" s="44">
        <f>(D11-E11)*100</f>
        <v/>
      </c>
    </row>
    <row r="12">
      <c r="A12" s="1" t="n"/>
      <c r="B12" s="5" t="inlineStr">
        <is>
          <t>Active days / week</t>
        </is>
      </c>
      <c r="C12" s="44">
        <f>DaysWk</f>
        <v/>
      </c>
      <c r="D12" s="54">
        <f>IF(((Devices)*(DevPrice))&gt;0,((Horizon)*(((Devices)*(HPD)*((MIN(7,DaysWk*(1+$D$5)))*4))*((Sellable)*(PricePerHr)-(CostPerHr)))-((Devices)*(DevPrice))*(1+INT(((Horizon)-1)/MAX(1,Life))))/((Devices)*(DevPrice)),0)</f>
        <v/>
      </c>
      <c r="E12" s="54">
        <f>IF(((Devices)*(DevPrice))&gt;0,((Horizon)*(((Devices)*(HPD)*((MIN(7,DaysWk*(1-$D$5)))*4))*((Sellable)*(PricePerHr)-(CostPerHr)))-((Devices)*(DevPrice))*(1+INT(((Horizon)-1)/MAX(1,Life))))/((Devices)*(DevPrice)),0)</f>
        <v/>
      </c>
      <c r="F12" s="44">
        <f>(D12-E12)*100</f>
        <v/>
      </c>
    </row>
    <row r="13">
      <c r="A13" s="1" t="n"/>
      <c r="B13" s="5" t="inlineStr">
        <is>
          <t>Device price</t>
        </is>
      </c>
      <c r="C13" s="7">
        <f>DevPrice</f>
        <v/>
      </c>
      <c r="D13" s="54">
        <f>IF(((Devices)*(DevPrice*(1-$D$5)))&gt;0,((Horizon)*(((Devices)*(HPD)*(DaysMo))*((Sellable)*(PricePerHr)-(CostPerHr)))-((Devices)*(DevPrice*(1-$D$5)))*(1+INT(((Horizon)-1)/MAX(1,Life))))/((Devices)*(DevPrice*(1-$D$5))),0)</f>
        <v/>
      </c>
      <c r="E13" s="54">
        <f>IF(((Devices)*(DevPrice*(1+$D$5)))&gt;0,((Horizon)*(((Devices)*(HPD)*(DaysMo))*((Sellable)*(PricePerHr)-(CostPerHr)))-((Devices)*(DevPrice*(1+$D$5)))*(1+INT(((Horizon)-1)/MAX(1,Life))))/((Devices)*(DevPrice*(1+$D$5))),0)</f>
        <v/>
      </c>
      <c r="F13" s="44">
        <f>(D13-E13)*100</f>
        <v/>
      </c>
    </row>
    <row r="14">
      <c r="A14" s="1" t="n"/>
      <c r="B14" s="5" t="inlineStr">
        <is>
          <t>Device lifespan</t>
        </is>
      </c>
      <c r="C14" s="45">
        <f>Life</f>
        <v/>
      </c>
      <c r="D14" s="54">
        <f>IF(((Devices)*(DevPrice))&gt;0,((Horizon)*(((Devices)*(HPD)*(DaysMo))*((Sellable)*(PricePerHr)-(CostPerHr)))-((Devices)*(DevPrice))*(1+INT(((Horizon)-1)/MAX(1,Life*(1+$D$5)))))/((Devices)*(DevPrice)),0)</f>
        <v/>
      </c>
      <c r="E14" s="54">
        <f>IF(((Devices)*(DevPrice))&gt;0,((Horizon)*(((Devices)*(HPD)*(DaysMo))*((Sellable)*(PricePerHr)-(CostPerHr)))-((Devices)*(DevPrice))*(1+INT(((Horizon)-1)/MAX(1,Life*(1-$D$5)))))/((Devices)*(DevPrice)),0)</f>
        <v/>
      </c>
      <c r="F14" s="44">
        <f>(D14-E14)*100</f>
        <v/>
      </c>
    </row>
  </sheetData>
  <conditionalFormatting sqref="D8:E14">
    <cfRule type="cellIs" priority="1" operator="lessThan" dxfId="1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0" customWidth="1" min="3" max="3"/>
    <col width="14" customWidth="1" min="4" max="4"/>
    <col width="15" customWidth="1" min="5" max="5"/>
    <col width="15" customWidth="1" min="6" max="6"/>
    <col width="11" customWidth="1" min="7" max="7"/>
  </cols>
  <sheetData>
    <row r="1">
      <c r="A1" s="1" t="n"/>
      <c r="B1" s="2" t="inlineStr">
        <is>
          <t>ROI by fleet size</t>
        </is>
      </c>
      <c r="C1" s="1" t="n"/>
      <c r="D1" s="1" t="n"/>
      <c r="E1" s="1" t="n"/>
      <c r="F1" s="1" t="n"/>
      <c r="G1" s="1" t="n"/>
    </row>
    <row r="2">
      <c r="A2" s="1" t="n"/>
      <c r="B2" s="3" t="inlineStr">
        <is>
          <t>Same assumptions as the active scenario, different numbers of devices. Multipliers are editable.</t>
        </is>
      </c>
      <c r="C2" s="1" t="n"/>
      <c r="D2" s="1" t="n"/>
      <c r="E2" s="1" t="n"/>
      <c r="F2" s="1" t="n"/>
      <c r="G2" s="1" t="n"/>
    </row>
    <row r="3">
      <c r="A3" s="1" t="n"/>
      <c r="B3" s="1" t="n"/>
      <c r="C3" s="1" t="n"/>
      <c r="D3" s="1" t="n"/>
      <c r="E3" s="1" t="n"/>
      <c r="F3" s="1" t="n"/>
      <c r="G3" s="1" t="n"/>
    </row>
    <row r="4">
      <c r="A4" s="1" t="n"/>
      <c r="B4" s="19" t="inlineStr">
        <is>
          <t>Multiplier</t>
        </is>
      </c>
      <c r="C4" s="19" t="inlineStr">
        <is>
          <t>Devices</t>
        </is>
      </c>
      <c r="D4" s="19" t="inlineStr">
        <is>
          <t>Investment</t>
        </is>
      </c>
      <c r="E4" s="19" t="inlineStr">
        <is>
          <t>Profit / month</t>
        </is>
      </c>
      <c r="F4" s="19" t="inlineStr">
        <is>
          <t>Net return</t>
        </is>
      </c>
      <c r="G4" s="19" t="inlineStr">
        <is>
          <t>ROI</t>
        </is>
      </c>
    </row>
    <row r="5">
      <c r="A5" s="1" t="n"/>
      <c r="B5" s="55" t="n">
        <v>0.25</v>
      </c>
      <c r="C5" s="56">
        <f>MAX(1,ROUND(Devices*B5,0))</f>
        <v/>
      </c>
      <c r="D5" s="7">
        <f>($C5)*(DevPrice)</f>
        <v/>
      </c>
      <c r="E5" s="7">
        <f>(($C5)*(HPD)*(DaysMo))*((Sellable)*(PricePerHr)-(CostPerHr))</f>
        <v/>
      </c>
      <c r="F5" s="7">
        <f>(Horizon)*((($C5)*(HPD)*(DaysMo))*((Sellable)*(PricePerHr)-(CostPerHr)))-(($C5)*(DevPrice))*(1+INT(((Horizon)-1)/MAX(1,Life)))</f>
        <v/>
      </c>
      <c r="G5" s="54">
        <f>IF((($C5)*(DevPrice))&gt;0,((Horizon)*((($C5)*(HPD)*(DaysMo))*((Sellable)*(PricePerHr)-(CostPerHr)))-(($C5)*(DevPrice))*(1+INT(((Horizon)-1)/MAX(1,Life))))/(($C5)*(DevPrice)),0)</f>
        <v/>
      </c>
    </row>
    <row r="6">
      <c r="A6" s="1" t="n"/>
      <c r="B6" s="55" t="n">
        <v>0.5</v>
      </c>
      <c r="C6" s="56">
        <f>MAX(1,ROUND(Devices*B6,0))</f>
        <v/>
      </c>
      <c r="D6" s="7">
        <f>($C6)*(DevPrice)</f>
        <v/>
      </c>
      <c r="E6" s="7">
        <f>(($C6)*(HPD)*(DaysMo))*((Sellable)*(PricePerHr)-(CostPerHr))</f>
        <v/>
      </c>
      <c r="F6" s="7">
        <f>(Horizon)*((($C6)*(HPD)*(DaysMo))*((Sellable)*(PricePerHr)-(CostPerHr)))-(($C6)*(DevPrice))*(1+INT(((Horizon)-1)/MAX(1,Life)))</f>
        <v/>
      </c>
      <c r="G6" s="54">
        <f>IF((($C6)*(DevPrice))&gt;0,((Horizon)*((($C6)*(HPD)*(DaysMo))*((Sellable)*(PricePerHr)-(CostPerHr)))-(($C6)*(DevPrice))*(1+INT(((Horizon)-1)/MAX(1,Life))))/(($C6)*(DevPrice)),0)</f>
        <v/>
      </c>
    </row>
    <row r="7">
      <c r="A7" s="1" t="n"/>
      <c r="B7" s="55" t="n">
        <v>0.75</v>
      </c>
      <c r="C7" s="56">
        <f>MAX(1,ROUND(Devices*B7,0))</f>
        <v/>
      </c>
      <c r="D7" s="7">
        <f>($C7)*(DevPrice)</f>
        <v/>
      </c>
      <c r="E7" s="7">
        <f>(($C7)*(HPD)*(DaysMo))*((Sellable)*(PricePerHr)-(CostPerHr))</f>
        <v/>
      </c>
      <c r="F7" s="7">
        <f>(Horizon)*((($C7)*(HPD)*(DaysMo))*((Sellable)*(PricePerHr)-(CostPerHr)))-(($C7)*(DevPrice))*(1+INT(((Horizon)-1)/MAX(1,Life)))</f>
        <v/>
      </c>
      <c r="G7" s="54">
        <f>IF((($C7)*(DevPrice))&gt;0,((Horizon)*((($C7)*(HPD)*(DaysMo))*((Sellable)*(PricePerHr)-(CostPerHr)))-(($C7)*(DevPrice))*(1+INT(((Horizon)-1)/MAX(1,Life))))/(($C7)*(DevPrice)),0)</f>
        <v/>
      </c>
    </row>
    <row r="8">
      <c r="A8" s="1" t="n"/>
      <c r="B8" s="55" t="n">
        <v>1</v>
      </c>
      <c r="C8" s="56">
        <f>MAX(1,ROUND(Devices*B8,0))</f>
        <v/>
      </c>
      <c r="D8" s="7">
        <f>($C8)*(DevPrice)</f>
        <v/>
      </c>
      <c r="E8" s="7">
        <f>(($C8)*(HPD)*(DaysMo))*((Sellable)*(PricePerHr)-(CostPerHr))</f>
        <v/>
      </c>
      <c r="F8" s="7">
        <f>(Horizon)*((($C8)*(HPD)*(DaysMo))*((Sellable)*(PricePerHr)-(CostPerHr)))-(($C8)*(DevPrice))*(1+INT(((Horizon)-1)/MAX(1,Life)))</f>
        <v/>
      </c>
      <c r="G8" s="54">
        <f>IF((($C8)*(DevPrice))&gt;0,((Horizon)*((($C8)*(HPD)*(DaysMo))*((Sellable)*(PricePerHr)-(CostPerHr)))-(($C8)*(DevPrice))*(1+INT(((Horizon)-1)/MAX(1,Life))))/(($C8)*(DevPrice)),0)</f>
        <v/>
      </c>
    </row>
    <row r="9">
      <c r="A9" s="1" t="n"/>
      <c r="B9" s="55" t="n">
        <v>1.5</v>
      </c>
      <c r="C9" s="56">
        <f>MAX(1,ROUND(Devices*B9,0))</f>
        <v/>
      </c>
      <c r="D9" s="7">
        <f>($C9)*(DevPrice)</f>
        <v/>
      </c>
      <c r="E9" s="7">
        <f>(($C9)*(HPD)*(DaysMo))*((Sellable)*(PricePerHr)-(CostPerHr))</f>
        <v/>
      </c>
      <c r="F9" s="7">
        <f>(Horizon)*((($C9)*(HPD)*(DaysMo))*((Sellable)*(PricePerHr)-(CostPerHr)))-(($C9)*(DevPrice))*(1+INT(((Horizon)-1)/MAX(1,Life)))</f>
        <v/>
      </c>
      <c r="G9" s="54">
        <f>IF((($C9)*(DevPrice))&gt;0,((Horizon)*((($C9)*(HPD)*(DaysMo))*((Sellable)*(PricePerHr)-(CostPerHr)))-(($C9)*(DevPrice))*(1+INT(((Horizon)-1)/MAX(1,Life))))/(($C9)*(DevPrice)),0)</f>
        <v/>
      </c>
    </row>
    <row r="10">
      <c r="A10" s="1" t="n"/>
      <c r="B10" s="55" t="n">
        <v>2</v>
      </c>
      <c r="C10" s="56">
        <f>MAX(1,ROUND(Devices*B10,0))</f>
        <v/>
      </c>
      <c r="D10" s="7">
        <f>($C10)*(DevPrice)</f>
        <v/>
      </c>
      <c r="E10" s="7">
        <f>(($C10)*(HPD)*(DaysMo))*((Sellable)*(PricePerHr)-(CostPerHr))</f>
        <v/>
      </c>
      <c r="F10" s="7">
        <f>(Horizon)*((($C10)*(HPD)*(DaysMo))*((Sellable)*(PricePerHr)-(CostPerHr)))-(($C10)*(DevPrice))*(1+INT(((Horizon)-1)/MAX(1,Life)))</f>
        <v/>
      </c>
      <c r="G10" s="54">
        <f>IF((($C10)*(DevPrice))&gt;0,((Horizon)*((($C10)*(HPD)*(DaysMo))*((Sellable)*(PricePerHr)-(CostPerHr)))-(($C10)*(DevPrice))*(1+INT(((Horizon)-1)/MAX(1,Life))))/(($C10)*(DevPrice)),0)</f>
        <v/>
      </c>
    </row>
    <row r="11">
      <c r="A11" s="1" t="n"/>
      <c r="B11" s="55" t="n">
        <v>2.5</v>
      </c>
      <c r="C11" s="56">
        <f>MAX(1,ROUND(Devices*B11,0))</f>
        <v/>
      </c>
      <c r="D11" s="7">
        <f>($C11)*(DevPrice)</f>
        <v/>
      </c>
      <c r="E11" s="7">
        <f>(($C11)*(HPD)*(DaysMo))*((Sellable)*(PricePerHr)-(CostPerHr))</f>
        <v/>
      </c>
      <c r="F11" s="7">
        <f>(Horizon)*((($C11)*(HPD)*(DaysMo))*((Sellable)*(PricePerHr)-(CostPerHr)))-(($C11)*(DevPrice))*(1+INT(((Horizon)-1)/MAX(1,Life)))</f>
        <v/>
      </c>
      <c r="G11" s="54">
        <f>IF((($C11)*(DevPrice))&gt;0,((Horizon)*((($C11)*(HPD)*(DaysMo))*((Sellable)*(PricePerHr)-(CostPerHr)))-(($C11)*(DevPrice))*(1+INT(((Horizon)-1)/MAX(1,Life))))/(($C11)*(DevPrice)),0)</f>
        <v/>
      </c>
    </row>
    <row r="12">
      <c r="A12" s="1" t="n"/>
      <c r="B12" s="55" t="n">
        <v>3</v>
      </c>
      <c r="C12" s="56">
        <f>MAX(1,ROUND(Devices*B12,0))</f>
        <v/>
      </c>
      <c r="D12" s="7">
        <f>($C12)*(DevPrice)</f>
        <v/>
      </c>
      <c r="E12" s="7">
        <f>(($C12)*(HPD)*(DaysMo))*((Sellable)*(PricePerHr)-(CostPerHr))</f>
        <v/>
      </c>
      <c r="F12" s="7">
        <f>(Horizon)*((($C12)*(HPD)*(DaysMo))*((Sellable)*(PricePerHr)-(CostPerHr)))-(($C12)*(DevPrice))*(1+INT(((Horizon)-1)/MAX(1,Life)))</f>
        <v/>
      </c>
      <c r="G12" s="54">
        <f>IF((($C12)*(DevPrice))&gt;0,((Horizon)*((($C12)*(HPD)*(DaysMo))*((Sellable)*(PricePerHr)-(CostPerHr)))-(($C12)*(DevPrice))*(1+INT(((Horizon)-1)/MAX(1,Life))))/(($C12)*(DevPrice)),0)</f>
        <v/>
      </c>
    </row>
  </sheetData>
  <conditionalFormatting sqref="E5:G12">
    <cfRule type="cellIs" priority="1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28" customWidth="1" min="2" max="2"/>
    <col width="100" customWidth="1" min="3" max="3"/>
  </cols>
  <sheetData>
    <row r="1">
      <c r="A1" s="1" t="n"/>
      <c r="B1" s="2" t="inlineStr">
        <is>
          <t>How the model works</t>
        </is>
      </c>
      <c r="C1" s="1" t="n"/>
    </row>
    <row r="2">
      <c r="A2" s="1" t="n"/>
      <c r="B2" s="1" t="n"/>
      <c r="C2" s="1" t="n"/>
    </row>
    <row r="3">
      <c r="A3" s="1" t="n"/>
      <c r="B3" s="4" t="inlineStr">
        <is>
          <t>Colour key</t>
        </is>
      </c>
      <c r="C3" s="31" t="inlineStr"/>
    </row>
    <row r="4">
      <c r="A4" s="1" t="n"/>
      <c r="B4" s="57" t="inlineStr">
        <is>
          <t>Blue text on yellow</t>
        </is>
      </c>
      <c r="C4" s="31" t="inlineStr">
        <is>
          <t>Input you can change</t>
        </is>
      </c>
    </row>
    <row r="5">
      <c r="A5" s="1" t="n"/>
      <c r="B5" s="26" t="inlineStr">
        <is>
          <t>Black text</t>
        </is>
      </c>
      <c r="C5" s="31" t="inlineStr">
        <is>
          <t>Formula. Do not overwrite</t>
        </is>
      </c>
    </row>
    <row r="6">
      <c r="A6" s="1" t="n"/>
      <c r="B6" s="58" t="inlineStr">
        <is>
          <t>Green text</t>
        </is>
      </c>
      <c r="C6" s="31" t="inlineStr">
        <is>
          <t>Formula pulling from another sheet</t>
        </is>
      </c>
    </row>
    <row r="7">
      <c r="A7" s="1" t="n"/>
      <c r="B7" s="31" t="inlineStr"/>
      <c r="C7" s="31" t="inlineStr"/>
    </row>
    <row r="8">
      <c r="A8" s="1" t="n"/>
      <c r="B8" s="4" t="inlineStr">
        <is>
          <t>Formulas</t>
        </is>
      </c>
      <c r="C8" s="31" t="inlineStr"/>
    </row>
    <row r="9">
      <c r="A9" s="1" t="n"/>
      <c r="B9" s="26" t="inlineStr">
        <is>
          <t>Investment</t>
        </is>
      </c>
      <c r="C9" s="31" t="inlineStr">
        <is>
          <t>Number of devices x device price (halved when the 50% option is Yes)</t>
        </is>
      </c>
    </row>
    <row r="10">
      <c r="A10" s="1" t="n"/>
      <c r="B10" s="26" t="inlineStr">
        <is>
          <t>Weeks and months</t>
        </is>
      </c>
      <c r="C10" s="31" t="inlineStr">
        <is>
          <t>A month is 4 weeks. Active days per month = active days per week x 4 (6 days a week = 24 days)</t>
        </is>
      </c>
    </row>
    <row r="11">
      <c r="A11" s="1" t="n"/>
      <c r="B11" s="26" t="inlineStr">
        <is>
          <t>Recorded hours / week</t>
        </is>
      </c>
      <c r="C11" s="31" t="inlineStr">
        <is>
          <t>Devices x hours per day x active days per week</t>
        </is>
      </c>
    </row>
    <row r="12">
      <c r="A12" s="1" t="n"/>
      <c r="B12" s="26" t="inlineStr">
        <is>
          <t>Sold hours</t>
        </is>
      </c>
      <c r="C12" s="31" t="inlineStr">
        <is>
          <t>Recorded hours x sellable rate (share left after wastage and buyer QA rejections)</t>
        </is>
      </c>
    </row>
    <row r="13">
      <c r="A13" s="1" t="n"/>
      <c r="B13" s="26" t="inlineStr">
        <is>
          <t>Revenue</t>
        </is>
      </c>
      <c r="C13" s="31" t="inlineStr">
        <is>
          <t>Accepted hours x price per hour</t>
        </is>
      </c>
    </row>
    <row r="14">
      <c r="A14" s="1" t="n"/>
      <c r="B14" s="26" t="inlineStr">
        <is>
          <t>Collection cost</t>
        </is>
      </c>
      <c r="C14" s="31" t="inlineStr">
        <is>
          <t>Recorded hours x collection cost per hour (paid on all recorded hours, same week)</t>
        </is>
      </c>
    </row>
    <row r="15">
      <c r="A15" s="1" t="n"/>
      <c r="B15" s="26" t="inlineStr">
        <is>
          <t>Operating profit / month</t>
        </is>
      </c>
      <c r="C15" s="31" t="inlineStr">
        <is>
          <t>Revenue - collection cost (the $3 per hour covers overheads; there is no separate monthly cost)</t>
        </is>
      </c>
    </row>
    <row r="16">
      <c r="A16" s="1" t="n"/>
      <c r="B16" s="26" t="inlineStr">
        <is>
          <t>Device replacements</t>
        </is>
      </c>
      <c r="C16" s="31" t="inlineStr">
        <is>
          <t>Whole fleet bought again at the start of each new lifespan cycle inside the horizon</t>
        </is>
      </c>
    </row>
    <row r="17">
      <c r="A17" s="1" t="n"/>
      <c r="B17" s="26" t="inlineStr">
        <is>
          <t>Device payments</t>
        </is>
      </c>
      <c r="C17" s="31" t="inlineStr">
        <is>
          <t>Paid in full in the week a fleet is bought</t>
        </is>
      </c>
    </row>
    <row r="18">
      <c r="A18" s="1" t="n"/>
      <c r="B18" s="26" t="inlineStr">
        <is>
          <t>Customer receipts</t>
        </is>
      </c>
      <c r="C18" s="31" t="inlineStr">
        <is>
          <t>Cash Flow sheet only: revenue arrives after the payment terms (15 days = about 2 weeks later)</t>
        </is>
      </c>
    </row>
    <row r="19">
      <c r="A19" s="1" t="n"/>
      <c r="B19" s="26" t="inlineStr">
        <is>
          <t>Currency</t>
        </is>
      </c>
      <c r="C19" s="31" t="inlineStr">
        <is>
          <t>Enter inputs in USD. With INR selected, every amount is multiplied by the USD to INR rate (default 95)</t>
        </is>
      </c>
    </row>
    <row r="20">
      <c r="A20" s="1" t="n"/>
      <c r="B20" s="26" t="inlineStr">
        <is>
          <t>Net return</t>
        </is>
      </c>
      <c r="C20" s="31" t="inlineStr">
        <is>
          <t>Monthly operating profit x horizon - all device purchases in the horizon (earned basis)</t>
        </is>
      </c>
    </row>
    <row r="21">
      <c r="A21" s="1" t="n"/>
      <c r="B21" s="26" t="inlineStr">
        <is>
          <t>ROI</t>
        </is>
      </c>
      <c r="C21" s="31" t="inlineStr">
        <is>
          <t>Net return / initial investment</t>
        </is>
      </c>
    </row>
    <row r="22">
      <c r="A22" s="1" t="n"/>
      <c r="B22" s="26" t="inlineStr">
        <is>
          <t>Payback</t>
        </is>
      </c>
      <c r="C22" s="31" t="inlineStr">
        <is>
          <t>When cumulative profit first covers the device spend, worked out week by week, shown in months and weeks</t>
        </is>
      </c>
    </row>
    <row r="23">
      <c r="A23" s="1" t="n"/>
      <c r="B23" s="26" t="inlineStr">
        <is>
          <t>Cash Flow sheet</t>
        </is>
      </c>
      <c r="C23" s="31" t="inlineStr">
        <is>
          <t>Separate view of when money moves: customers pay after the payment terms, so cash dips at the start</t>
        </is>
      </c>
    </row>
    <row r="24">
      <c r="A24" s="1" t="n"/>
      <c r="B24" s="26" t="inlineStr">
        <is>
          <t>Peak cash needed</t>
        </is>
      </c>
      <c r="C24" s="31" t="inlineStr">
        <is>
          <t>On the Cash Flow sheet: lowest point of weekly cumulative cash, the most money out of pocket at once</t>
        </is>
      </c>
    </row>
    <row r="25">
      <c r="A25" s="1" t="n"/>
      <c r="B25" s="31" t="inlineStr"/>
      <c r="C25" s="31" t="inlineStr"/>
    </row>
    <row r="26">
      <c r="A26" s="1" t="n"/>
      <c r="B26" s="26" t="inlineStr">
        <is>
          <t>Source of figures</t>
        </is>
      </c>
      <c r="C26" s="31" t="inlineStr">
        <is>
          <t>All base case figures come from the user. The Conservative and Optimistic columns are illustrative examples.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2026-10-03T20:52:41Z</dcterms:created>
  <dcterms:modified xmlns:dcterms="http://purl.org/dc/terms/" xmlns:xsi="http://www.w3.org/2001/XMLSchema-instance" xsi:type="dcterms:W3CDTF">2026-10-03T20:52:41Z</dcterms:modified>
</cp:coreProperties>
</file>